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G:\Daten\05_Projekte\01_Steigerung der Energieeffizienz\06_Industrie &amp; Gewerbe\03_Abwaermeatlas\7 Handlungshilfe Abwärme\3 Final\SAENA_Abwaerme\"/>
    </mc:Choice>
  </mc:AlternateContent>
  <workbookProtection workbookAlgorithmName="SHA-512" workbookHashValue="9LPMY3f9ijPZwu6BFtUQArbPppioZ2PepWjR3qmF8naj0Di9Omyp7wdxdcr7VFYMN+iK4/b6O+pA6SUAmL1RaA==" workbookSaltValue="eEiw9Gamqnpi5CZHZpWGyQ==" workbookSpinCount="100000" lockStructure="1"/>
  <bookViews>
    <workbookView xWindow="10485" yWindow="15" windowWidth="48225" windowHeight="27465" tabRatio="766"/>
  </bookViews>
  <sheets>
    <sheet name="Abwärmequellen" sheetId="13" r:id="rId1"/>
    <sheet name="Abwärme vermeiden" sheetId="24" r:id="rId2"/>
    <sheet name="Wärmesenken" sheetId="25" r:id="rId3"/>
    <sheet name="Stoffwerte" sheetId="26" state="hidden" r:id="rId4"/>
  </sheets>
  <definedNames>
    <definedName name="a" localSheetId="1">'Abwärme vermeiden'!#REF!</definedName>
    <definedName name="a" localSheetId="0">Abwärmequellen!$W$120</definedName>
    <definedName name="a" localSheetId="2">Wärmesenken!$AD$99</definedName>
    <definedName name="a">#REF!</definedName>
    <definedName name="baBrennstoff" localSheetId="1">'Abwärme vermeiden'!#REF!</definedName>
    <definedName name="baBrennstoff" localSheetId="0">Abwärmequellen!$W$229</definedName>
    <definedName name="baBrennstoff" localSheetId="2">Wärmesenken!$AD$211</definedName>
    <definedName name="baBrennstoff">#REF!</definedName>
    <definedName name="baSonstige" localSheetId="1">'Abwärme vermeiden'!#REF!</definedName>
    <definedName name="baSonstige" localSheetId="0">Abwärmequellen!$W$230</definedName>
    <definedName name="baSonstige" localSheetId="2">Wärmesenken!$AD$212</definedName>
    <definedName name="baSonstige">#REF!</definedName>
    <definedName name="baStrom" localSheetId="1">'Abwärme vermeiden'!#REF!</definedName>
    <definedName name="baStrom" localSheetId="0">Abwärmequellen!$P$234</definedName>
    <definedName name="baStrom" localSheetId="2">Wärmesenken!$U$216</definedName>
    <definedName name="baStrom">#REF!</definedName>
    <definedName name="Invest" localSheetId="1">'Abwärme vermeiden'!#REF!</definedName>
    <definedName name="Invest" localSheetId="0">Abwärmequellen!#REF!</definedName>
    <definedName name="Invest" localSheetId="2">Wärmesenken!#REF!</definedName>
    <definedName name="Invest">#REF!</definedName>
    <definedName name="Last" localSheetId="1">'Abwärme vermeiden'!#REF!</definedName>
    <definedName name="Last" localSheetId="2">Wärmesenken!#REF!</definedName>
    <definedName name="Last">Abwärmequellen!$E$35</definedName>
    <definedName name="oben" localSheetId="3">Stoffwerte!$L$3</definedName>
    <definedName name="q" localSheetId="1">'Abwärme vermeiden'!#REF!</definedName>
    <definedName name="q" localSheetId="0">Abwärmequellen!$W$119</definedName>
    <definedName name="q" localSheetId="2">Wärmesenken!$AD$98</definedName>
    <definedName name="q">#REF!</definedName>
    <definedName name="w" localSheetId="1">#REF!</definedName>
    <definedName name="w" localSheetId="2">#REF!</definedName>
    <definedName name="w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7" i="13" l="1"/>
  <c r="C51" i="13" l="1"/>
  <c r="F51" i="13"/>
  <c r="C50" i="13"/>
  <c r="F49" i="13"/>
  <c r="C49" i="13"/>
  <c r="C47" i="13"/>
  <c r="G48" i="13"/>
  <c r="G52" i="13"/>
  <c r="G51" i="13"/>
  <c r="F80" i="13" l="1"/>
  <c r="C75" i="13"/>
  <c r="U76" i="25" l="1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9" i="24" l="1"/>
  <c r="U33" i="24"/>
  <c r="U34" i="24"/>
  <c r="U35" i="24"/>
  <c r="U36" i="24"/>
  <c r="U37" i="24"/>
  <c r="U38" i="24"/>
  <c r="U39" i="24"/>
  <c r="U40" i="24"/>
  <c r="U41" i="24"/>
  <c r="U42" i="24"/>
  <c r="U43" i="24"/>
  <c r="U44" i="24"/>
  <c r="U45" i="24"/>
  <c r="U46" i="24"/>
  <c r="U47" i="24"/>
  <c r="U48" i="24"/>
  <c r="U49" i="24"/>
  <c r="U50" i="24"/>
  <c r="U51" i="24"/>
  <c r="U52" i="24"/>
  <c r="U53" i="24"/>
  <c r="U54" i="24"/>
  <c r="U55" i="24"/>
  <c r="U56" i="24"/>
  <c r="U57" i="24"/>
  <c r="U58" i="24"/>
  <c r="U59" i="24"/>
  <c r="U60" i="24"/>
  <c r="U61" i="24"/>
  <c r="U62" i="24"/>
  <c r="U63" i="24"/>
  <c r="U64" i="24"/>
  <c r="U65" i="24"/>
  <c r="U66" i="24"/>
  <c r="U67" i="24"/>
  <c r="U68" i="24"/>
  <c r="U69" i="24"/>
  <c r="U70" i="24"/>
  <c r="U71" i="24"/>
  <c r="U72" i="24"/>
  <c r="U53" i="25" l="1"/>
  <c r="U66" i="25"/>
  <c r="U59" i="25"/>
  <c r="E29" i="25"/>
  <c r="E30" i="25" s="1"/>
  <c r="R62" i="13"/>
  <c r="S95" i="13" s="1"/>
  <c r="O64" i="13"/>
  <c r="D53" i="13"/>
  <c r="R61" i="13"/>
  <c r="S78" i="13" s="1"/>
  <c r="G54" i="13"/>
  <c r="F45" i="13"/>
  <c r="W39" i="13"/>
  <c r="W38" i="13"/>
  <c r="I51" i="13"/>
  <c r="I52" i="13"/>
  <c r="I53" i="13"/>
  <c r="G53" i="13"/>
  <c r="C45" i="13"/>
  <c r="E79" i="25"/>
  <c r="E80" i="25" s="1"/>
  <c r="Z31" i="25"/>
  <c r="Z32" i="25" s="1"/>
  <c r="AD31" i="25"/>
  <c r="AD32" i="25" s="1"/>
  <c r="AD34" i="25"/>
  <c r="AD35" i="25"/>
  <c r="AB31" i="25"/>
  <c r="AB37" i="25" s="1"/>
  <c r="D95" i="26"/>
  <c r="R64" i="13"/>
  <c r="P78" i="13"/>
  <c r="P81" i="13"/>
  <c r="P144" i="13" s="1"/>
  <c r="AB70" i="25"/>
  <c r="AB66" i="25"/>
  <c r="AB68" i="25"/>
  <c r="AB64" i="25"/>
  <c r="AA70" i="25"/>
  <c r="AA66" i="25"/>
  <c r="AA71" i="25" s="1"/>
  <c r="AA64" i="25"/>
  <c r="AA68" i="25"/>
  <c r="N41" i="25"/>
  <c r="Z70" i="25"/>
  <c r="W40" i="13"/>
  <c r="Z66" i="25"/>
  <c r="Z71" i="25" s="1"/>
  <c r="Z68" i="25"/>
  <c r="Z64" i="25"/>
  <c r="F52" i="13"/>
  <c r="F50" i="13"/>
  <c r="C53" i="13"/>
  <c r="C52" i="13"/>
  <c r="I54" i="13"/>
  <c r="W37" i="13"/>
  <c r="E41" i="25"/>
  <c r="C105" i="25"/>
  <c r="C94" i="25"/>
  <c r="E30" i="13"/>
  <c r="N21" i="25"/>
  <c r="N72" i="25"/>
  <c r="N19" i="25"/>
  <c r="D33" i="24"/>
  <c r="R73" i="24"/>
  <c r="U17" i="24"/>
  <c r="U8" i="24"/>
  <c r="U23" i="24" s="1"/>
  <c r="F53" i="13"/>
  <c r="W36" i="13"/>
  <c r="AB32" i="25" l="1"/>
  <c r="AB35" i="25"/>
  <c r="AB71" i="25"/>
  <c r="Z37" i="25"/>
  <c r="Z39" i="25" s="1"/>
  <c r="T39" i="25" s="1"/>
  <c r="Z35" i="25"/>
  <c r="Z34" i="25"/>
  <c r="AB34" i="25"/>
  <c r="F41" i="25"/>
  <c r="P123" i="13"/>
  <c r="P127" i="13"/>
  <c r="P131" i="13"/>
  <c r="P135" i="13"/>
  <c r="P139" i="13"/>
  <c r="P124" i="13"/>
  <c r="P128" i="13"/>
  <c r="P132" i="13"/>
  <c r="P136" i="13"/>
  <c r="P140" i="13"/>
  <c r="P126" i="13"/>
  <c r="P134" i="13"/>
  <c r="P138" i="13"/>
  <c r="P125" i="13"/>
  <c r="P129" i="13"/>
  <c r="P133" i="13"/>
  <c r="P137" i="13"/>
  <c r="P141" i="13"/>
  <c r="P130" i="13"/>
  <c r="P142" i="13"/>
  <c r="AD37" i="25"/>
  <c r="AD39" i="25" s="1"/>
  <c r="T41" i="25" s="1"/>
  <c r="E62" i="25" s="1"/>
  <c r="S97" i="13"/>
  <c r="S98" i="13"/>
  <c r="S99" i="13"/>
  <c r="S96" i="13"/>
  <c r="S80" i="13"/>
  <c r="S79" i="13"/>
  <c r="W41" i="13"/>
  <c r="W42" i="13" s="1"/>
  <c r="E38" i="13" s="1"/>
  <c r="AB72" i="25"/>
  <c r="N80" i="25" s="1"/>
  <c r="Z72" i="25"/>
  <c r="N30" i="25" s="1"/>
  <c r="AA72" i="25"/>
  <c r="S81" i="13"/>
  <c r="S82" i="13"/>
  <c r="G71" i="25" l="1"/>
  <c r="E83" i="25"/>
  <c r="AB76" i="25" s="1"/>
  <c r="AB39" i="25"/>
  <c r="T40" i="25" s="1"/>
  <c r="G21" i="25" s="1"/>
  <c r="S84" i="13"/>
  <c r="O61" i="13" s="1"/>
  <c r="H52" i="13" s="1"/>
  <c r="E53" i="13" s="1"/>
  <c r="AB75" i="25"/>
  <c r="N81" i="25" s="1"/>
  <c r="S101" i="13"/>
  <c r="O62" i="13" s="1"/>
  <c r="W43" i="13"/>
  <c r="E39" i="13" s="1"/>
  <c r="AA76" i="25"/>
  <c r="N49" i="25"/>
  <c r="Z75" i="25"/>
  <c r="Z76" i="25"/>
  <c r="AA75" i="25"/>
  <c r="AB77" i="25" l="1"/>
  <c r="AB78" i="25" s="1"/>
  <c r="AA77" i="25"/>
  <c r="AA78" i="25" s="1"/>
  <c r="E51" i="25" s="1"/>
  <c r="N50" i="25"/>
  <c r="N31" i="25"/>
  <c r="Z77" i="25"/>
  <c r="Z78" i="25" s="1"/>
  <c r="AB79" i="25" l="1"/>
  <c r="E84" i="25"/>
  <c r="AA79" i="25"/>
  <c r="Z79" i="25"/>
  <c r="E31" i="25"/>
  <c r="M99" i="25" s="1"/>
  <c r="M108" i="25" l="1"/>
  <c r="P119" i="13" l="1"/>
  <c r="P117" i="13"/>
  <c r="P122" i="13"/>
  <c r="P121" i="13"/>
  <c r="P118" i="13"/>
  <c r="P116" i="13"/>
  <c r="P115" i="13"/>
  <c r="P120" i="13"/>
  <c r="P113" i="13"/>
  <c r="P114" i="13"/>
  <c r="E61" i="13" l="1"/>
  <c r="W45" i="13" s="1"/>
  <c r="W44" i="13" l="1"/>
  <c r="W46" i="13" s="1"/>
  <c r="E62" i="13" l="1"/>
  <c r="W47" i="13"/>
  <c r="M98" i="25" l="1"/>
  <c r="M101" i="25" s="1"/>
  <c r="P80" i="13"/>
  <c r="E98" i="25"/>
  <c r="E101" i="25" s="1"/>
  <c r="F117" i="25" s="1"/>
  <c r="E75" i="13"/>
  <c r="D18" i="24"/>
  <c r="D21" i="24" l="1"/>
  <c r="K32" i="24" s="1"/>
  <c r="P95" i="13"/>
  <c r="P107" i="13"/>
  <c r="P105" i="13"/>
  <c r="P108" i="13"/>
  <c r="P96" i="13"/>
  <c r="P99" i="13"/>
  <c r="P100" i="13"/>
  <c r="P102" i="13"/>
  <c r="P111" i="13"/>
  <c r="P112" i="13"/>
  <c r="P98" i="13"/>
  <c r="P110" i="13"/>
  <c r="P97" i="13"/>
  <c r="P109" i="13"/>
  <c r="P103" i="13"/>
  <c r="P94" i="13"/>
  <c r="P106" i="13"/>
  <c r="P101" i="13"/>
  <c r="P104" i="13"/>
  <c r="P77" i="13"/>
  <c r="P93" i="13" s="1"/>
  <c r="C80" i="13"/>
  <c r="E108" i="25"/>
  <c r="U58" i="25"/>
  <c r="U14" i="24" l="1"/>
  <c r="U32" i="24" s="1"/>
  <c r="D37" i="24"/>
  <c r="P84" i="13"/>
  <c r="E80" i="13" s="1"/>
  <c r="U68" i="25"/>
  <c r="U71" i="25"/>
  <c r="U67" i="25"/>
  <c r="U74" i="25"/>
  <c r="U69" i="25"/>
  <c r="U75" i="25"/>
  <c r="U73" i="25"/>
  <c r="U70" i="25"/>
  <c r="U72" i="25"/>
  <c r="U26" i="24" l="1"/>
  <c r="U29" i="24"/>
  <c r="U28" i="24"/>
  <c r="U30" i="24"/>
  <c r="U27" i="24"/>
  <c r="U31" i="24"/>
  <c r="U25" i="24"/>
  <c r="U24" i="24"/>
  <c r="U62" i="25"/>
  <c r="F121" i="25" s="1"/>
  <c r="U20" i="24" l="1"/>
  <c r="K35" i="24" s="1"/>
</calcChain>
</file>

<file path=xl/comments1.xml><?xml version="1.0" encoding="utf-8"?>
<comments xmlns="http://schemas.openxmlformats.org/spreadsheetml/2006/main">
  <authors>
    <author>Bränzel, Juliane</author>
  </authors>
  <commentList>
    <comment ref="N241" authorId="0" shapeId="0">
      <text>
        <r>
          <rPr>
            <b/>
            <sz val="9"/>
            <color indexed="81"/>
            <rFont val="Segoe UI"/>
            <family val="2"/>
          </rPr>
          <t>Bränzel, Juliane:</t>
        </r>
        <r>
          <rPr>
            <sz val="9"/>
            <color indexed="81"/>
            <rFont val="Segoe UI"/>
            <family val="2"/>
          </rPr>
          <t xml:space="preserve">
Gas-Brennwertkessel, bodenstehend unter 200 kW</t>
        </r>
      </text>
    </comment>
  </commentList>
</comments>
</file>

<file path=xl/comments2.xml><?xml version="1.0" encoding="utf-8"?>
<comments xmlns="http://schemas.openxmlformats.org/spreadsheetml/2006/main">
  <authors>
    <author>Bränzel, Juliane</author>
  </authors>
  <commentList>
    <comment ref="S223" authorId="0" shapeId="0">
      <text>
        <r>
          <rPr>
            <b/>
            <sz val="9"/>
            <color indexed="81"/>
            <rFont val="Segoe UI"/>
            <family val="2"/>
          </rPr>
          <t>Bränzel, Juliane:</t>
        </r>
        <r>
          <rPr>
            <sz val="9"/>
            <color indexed="81"/>
            <rFont val="Segoe UI"/>
            <family val="2"/>
          </rPr>
          <t xml:space="preserve">
Gas-Brennwertkessel, bodenstehend unter 200 kW</t>
        </r>
      </text>
    </comment>
  </commentList>
</comments>
</file>

<file path=xl/sharedStrings.xml><?xml version="1.0" encoding="utf-8"?>
<sst xmlns="http://schemas.openxmlformats.org/spreadsheetml/2006/main" count="2552" uniqueCount="1883">
  <si>
    <t>Jahre</t>
  </si>
  <si>
    <t>%</t>
  </si>
  <si>
    <t>MWh/a</t>
  </si>
  <si>
    <t>°C</t>
  </si>
  <si>
    <t>kW</t>
  </si>
  <si>
    <t>Eingabewerte</t>
  </si>
  <si>
    <t>h</t>
  </si>
  <si>
    <t>Dichte</t>
  </si>
  <si>
    <t>Summe</t>
  </si>
  <si>
    <t>Betriebsstunden pro Tag</t>
  </si>
  <si>
    <t>Betriebstage pro Woche</t>
  </si>
  <si>
    <t>d</t>
  </si>
  <si>
    <t>Wochen</t>
  </si>
  <si>
    <t>Betriebswochen pro Jahr</t>
  </si>
  <si>
    <t>Anteil der Jahresbetriebszeit im Teillastbereich</t>
  </si>
  <si>
    <t>Betriebsstunden pro Jahr</t>
  </si>
  <si>
    <t>Betriebsstunden pro Jahr Teillast</t>
  </si>
  <si>
    <t>Betriebsstunden pro Jahr Volllast</t>
  </si>
  <si>
    <t>Wo</t>
  </si>
  <si>
    <t>K</t>
  </si>
  <si>
    <t>Mittlere Anlagenleistung im Teillastbetrieb</t>
  </si>
  <si>
    <t>% von Nennlast</t>
  </si>
  <si>
    <t>% der Jahresbetriebszeit</t>
  </si>
  <si>
    <t>Anteil im Teillastbereich</t>
  </si>
  <si>
    <t>Temperaturspreizung</t>
  </si>
  <si>
    <t>Last:</t>
  </si>
  <si>
    <t>Abwärme Teillast</t>
  </si>
  <si>
    <t>Abwärme Vollast</t>
  </si>
  <si>
    <t>-</t>
  </si>
  <si>
    <t>m/s</t>
  </si>
  <si>
    <t>m</t>
  </si>
  <si>
    <t>kg / m³</t>
  </si>
  <si>
    <t>MWh</t>
  </si>
  <si>
    <t>kg/s</t>
  </si>
  <si>
    <t>Breite Abluftauslass</t>
  </si>
  <si>
    <t>Höhe Abluftauslass</t>
  </si>
  <si>
    <t>Wasser</t>
  </si>
  <si>
    <t>spezifische Wärmekapazität</t>
  </si>
  <si>
    <t>Luft</t>
  </si>
  <si>
    <t>KJ / kg K = kWs / kg K</t>
  </si>
  <si>
    <t>delta T</t>
  </si>
  <si>
    <t>GJ</t>
  </si>
  <si>
    <t>Nennleistung Heizkessel</t>
  </si>
  <si>
    <t>Gebäudeklassifizierungen</t>
  </si>
  <si>
    <t>250 … 300</t>
  </si>
  <si>
    <t>180 … 250</t>
  </si>
  <si>
    <t>110 … 180</t>
  </si>
  <si>
    <t>40 … 90</t>
  </si>
  <si>
    <t>kWh/m²a</t>
  </si>
  <si>
    <t>m²</t>
  </si>
  <si>
    <t>BJ ab 2002</t>
  </si>
  <si>
    <t>BJ vor 1995</t>
  </si>
  <si>
    <t>BJ vor 1982</t>
  </si>
  <si>
    <t>BJ vor 1977</t>
  </si>
  <si>
    <t>Verbrauch Warmwasser</t>
  </si>
  <si>
    <t>Temperatur Warmwasser</t>
  </si>
  <si>
    <t>Euro/MWh</t>
  </si>
  <si>
    <t>luftgekühlte Anlage</t>
  </si>
  <si>
    <t>wassergekühlte Anlage</t>
  </si>
  <si>
    <t>Wie hoch ist die maximale Amortisationszeit, die in Ihrem Unternehmen als Investitionszeitraum genehmigt wird?</t>
  </si>
  <si>
    <t>Return on Invest (ROI) / Amortisationszeit maximal</t>
  </si>
  <si>
    <t>(exkl. jährliche Betriebskosten)</t>
  </si>
  <si>
    <t>Abweichenden Wärmepreis verwenden:</t>
  </si>
  <si>
    <t>wassergekühlt / (Prozess)Wasser</t>
  </si>
  <si>
    <t>luftgekühlt / (Ab)Luft</t>
  </si>
  <si>
    <t>Art der Anlagenkühlung bzw. Abwärme-Medium</t>
  </si>
  <si>
    <t>HEIZUNGSANLAGE</t>
  </si>
  <si>
    <t>WARMWASSERBEREITUNG</t>
  </si>
  <si>
    <t>m³/a</t>
  </si>
  <si>
    <t>Temperaturniveau (Vorlauf Sekundärkreis)</t>
  </si>
  <si>
    <t>Bezeichnung des Prozesses</t>
  </si>
  <si>
    <t>PROZESSWÄRME</t>
  </si>
  <si>
    <t>Temperaturniveau Rücklauf</t>
  </si>
  <si>
    <t>Massenstrom Prozesswasser</t>
  </si>
  <si>
    <t>tatsächlich nutzbare Abwärmemenge</t>
  </si>
  <si>
    <t>verfügbare Abwärmemenge</t>
  </si>
  <si>
    <t>Nutzungsgrad</t>
  </si>
  <si>
    <t>Zur Wirtschaftlichkeit dieses Abwärmepotenzials:</t>
  </si>
  <si>
    <r>
      <rPr>
        <b/>
        <sz val="12"/>
        <color theme="1"/>
        <rFont val="Calibri"/>
        <family val="2"/>
        <scheme val="minor"/>
      </rPr>
      <t>Euro</t>
    </r>
    <r>
      <rPr>
        <sz val="11"/>
        <color theme="0" tint="-0.499984740745262"/>
        <rFont val="Calibri"/>
        <family val="2"/>
        <scheme val="minor"/>
      </rPr>
      <t/>
    </r>
  </si>
  <si>
    <t xml:space="preserve">Tragen Sie bitte zunächst hier die Betriebszeiten der Anlage(n) ein: </t>
  </si>
  <si>
    <t>Nun geben Sie bitte die technischen Informationen über die Anlage ein, die Sie herausgefunden haben.</t>
  </si>
  <si>
    <t>Heizungsanlage</t>
  </si>
  <si>
    <t>Bezeichnung der Abwärmequelle:</t>
  </si>
  <si>
    <t>Euro/a</t>
  </si>
  <si>
    <t>Euro</t>
  </si>
  <si>
    <t>Aus dieser Amortisationszeit ergibt sich eine maximal mögliche Summe, die für das Nutzbarmachen des vorhandenen Abwärmepotenzials ausgegeben werden kann:</t>
  </si>
  <si>
    <t>Investitionssumme</t>
  </si>
  <si>
    <t>Zinssatz</t>
  </si>
  <si>
    <t>Jährlicher Rückfluss</t>
  </si>
  <si>
    <t>Nutzungsdauer (Jahre)</t>
  </si>
  <si>
    <t>Interner Zinsfuß</t>
  </si>
  <si>
    <t>Laufzeit n 
in Jahren</t>
  </si>
  <si>
    <t xml:space="preserve">Bevor Sie die Abwärmenutzung prüfen, stellen Sie sich bitte die Frage: </t>
  </si>
  <si>
    <t>Einsparung durch Abwärmevermeidung</t>
  </si>
  <si>
    <t>nötige Investition für Abwärmevermeidung</t>
  </si>
  <si>
    <t>Amortisationszeit</t>
  </si>
  <si>
    <t>Zu diesem Zinssatz verzinst sich der investierte Betrag.</t>
  </si>
  <si>
    <t>Aus dieser Amortisationszeit ergibt sich eine maximal mögliche Summe, die für das Vermeiden der entstehenden Abwärme ausgegeben werden kann:</t>
  </si>
  <si>
    <t>Können Sie abschätzen, wie teuer die Maßnahme zur Abwärmevermeidung wäre?</t>
  </si>
  <si>
    <t>m³/h =</t>
  </si>
  <si>
    <t>Q = m c dT, pauschal 10% Verlust im Wärmeübertrager</t>
  </si>
  <si>
    <t xml:space="preserve">Berücksichtigung von Teillast- &amp; Volllastzeit </t>
  </si>
  <si>
    <t>Bitte schätzen Sie ab, inwiefern die Anlage in Teillast betrieben wird:</t>
  </si>
  <si>
    <t>Ergebnis:</t>
  </si>
  <si>
    <t>Jahreswärmebedarf</t>
  </si>
  <si>
    <t>m³/h</t>
  </si>
  <si>
    <t>mm</t>
  </si>
  <si>
    <t xml:space="preserve">Kanalquerschnitt </t>
  </si>
  <si>
    <t>ALTERNATIV können Sie hier die Betriebsstunden pro Jahr eingeben. (Wichtiger Hinweis: Wenn das folgende Feld ausgefüllt ist, wird diese Angabe prioritär verwendet!)</t>
  </si>
  <si>
    <t>h/a</t>
  </si>
  <si>
    <t>Kanalhöhe (H)</t>
  </si>
  <si>
    <t>Kanalbreite (B)</t>
  </si>
  <si>
    <t xml:space="preserve">Volumenstrom Zuluft </t>
  </si>
  <si>
    <t>Bezeichnung der dazu passenden Wärmesenke:</t>
  </si>
  <si>
    <t>BJ vor 2002</t>
  </si>
  <si>
    <t>90…110</t>
  </si>
  <si>
    <t>Umrechner Luft:</t>
  </si>
  <si>
    <t>Temperaturdifferenz Abluftstrom</t>
  </si>
  <si>
    <t>Dropdown-Menü Luft/Wasser:</t>
  </si>
  <si>
    <t>Teillaststufen (% von Volllast/ % der Jahresbetriebszeit):</t>
  </si>
  <si>
    <t>Abwärmeleistung</t>
  </si>
  <si>
    <t>nutzbare Abwärmemenge</t>
  </si>
  <si>
    <t>Wieviel % dieser Abwärme lassen sich vermeiden?</t>
  </si>
  <si>
    <t>ct/kWh</t>
  </si>
  <si>
    <t>Lebensdauer der genutzten Anlage/ Materialien zur Abwärmevermeidung</t>
  </si>
  <si>
    <t xml:space="preserve">mittl. Heizleistung </t>
  </si>
  <si>
    <t>bei Wirkungsgrad = 80%</t>
  </si>
  <si>
    <t xml:space="preserve">Tragen Sie bitte hier die Betriebszeiten der Anlage(n) ein: </t>
  </si>
  <si>
    <t>ALTERNATIV können Sie hier die Betriebsstunden pro Jahr eingeben. Wenn das folgende Feld ausgefüllt ist, wird diese Angabe prioritär verwendet!</t>
  </si>
  <si>
    <t xml:space="preserve">Tragen Sie bitte hier die Betriebszeiten des Heizkessels ein: </t>
  </si>
  <si>
    <t>durchschnittl. Temperatur Trinkwasser kalt</t>
  </si>
  <si>
    <t xml:space="preserve">Tragen Sie bitte hier die Betriebszeiten der Lüftungsanlage ein: </t>
  </si>
  <si>
    <t>ALTERNATIV können Sie hier die Betriebsstunden pro Jahr eingeben! Wenn das folgende Feld ausgefüllt ist, wird diese Angabe prioritär verwendet!</t>
  </si>
  <si>
    <t xml:space="preserve">mittlere Heizleistung </t>
  </si>
  <si>
    <t xml:space="preserve">LÜFTUNGSANLAGE </t>
  </si>
  <si>
    <t>Bitte schätzen Sie anhand vorhandener Lastgänge ab, wieviel % der verfügbaren Abwärme in der Wärmesenke ungefähr eingesetzt werden können:</t>
  </si>
  <si>
    <t>Falls Ihnen bereits eine Schätzung für die benötigten Investitionen vorliegt, können Sie die Wirtschaftlichkeit im Folgenden grob abschätzen:</t>
  </si>
  <si>
    <t>Prozesswärme</t>
  </si>
  <si>
    <t>Warmwasserbereitung</t>
  </si>
  <si>
    <t>Lüftungsanlage</t>
  </si>
  <si>
    <t>Bitte schätzen Sie ab, inwiefern die Heizungsanlage in Teillast betrieben wird:</t>
  </si>
  <si>
    <t>Berechnung Teillastzustände:</t>
  </si>
  <si>
    <t>Heizung</t>
  </si>
  <si>
    <t>Lüftung</t>
  </si>
  <si>
    <t>ALTERNATIV können Sie hier auch die Daten zum Kanalquerschnitt (Höhe &amp; Breite oder Durchmesser) eingeben! Wenn die folgenden Felder ausgefüllt sind, wird diese Angabe prioritär verwendet!</t>
  </si>
  <si>
    <t>Eine andere Investitionssumme verwenden:</t>
  </si>
  <si>
    <t>Möglicherweise können nicht 100% der vorhandenen Abwärme genutzt werden?</t>
  </si>
  <si>
    <t>nötige Investition für Abwärmenutzung</t>
  </si>
  <si>
    <t>Lebensdauer der genutzten Anlage/ Materialien zur Abwärmenutzung</t>
  </si>
  <si>
    <t>bei 6 m/s mittl. Strömungs-geschwindigkeit</t>
  </si>
  <si>
    <t>ODER</t>
  </si>
  <si>
    <t>Massenstrom Kühl-/Prozess-/Abwasser</t>
  </si>
  <si>
    <t>Vorlauftemperatur (obere Temperatur)</t>
  </si>
  <si>
    <t>Rücklauftemperatur (untere Temperatur)</t>
  </si>
  <si>
    <t>kg/s bzw. l/s</t>
  </si>
  <si>
    <t>Eine andere Nutzungsdauer verwenden:</t>
  </si>
  <si>
    <t>kg/s =</t>
  </si>
  <si>
    <t>m³ Erdgas oder Liter Heizöl HEL</t>
  </si>
  <si>
    <t>Brennstoffverbrauch Heizkessel</t>
  </si>
  <si>
    <t>Temperaturniveau Zuluft</t>
  </si>
  <si>
    <t>Luftmenge (Massen-/Volumenstrom)</t>
  </si>
  <si>
    <t>ALTERNATIV erfragen Sie bitte einige Daten zu dem zu beheizenden Gebäude!</t>
  </si>
  <si>
    <t>Baujahr des Gebäudes</t>
  </si>
  <si>
    <t>beheizte Gebäudenutzfläche</t>
  </si>
  <si>
    <t>Angabe des Zinssatzes</t>
  </si>
  <si>
    <t>https://www.me.psu.edu/cimbala/me433/Links/Table_A_9_CC_Properties_of_Air.pdf</t>
  </si>
  <si>
    <t xml:space="preserve">Massestrom Abluft </t>
  </si>
  <si>
    <t>t/°C</t>
  </si>
  <si>
    <t>rho/kg/m³</t>
  </si>
  <si>
    <t>(mittel von -100°C [1,00] bis 200°C [1,02])</t>
  </si>
  <si>
    <t>Abschätzung</t>
  </si>
  <si>
    <t>Bezug auf Wärmesenke</t>
  </si>
  <si>
    <t>Dropdown Menü</t>
  </si>
  <si>
    <t>https://wissen.science-and-fun.de/tabellen-zur-chemie/dichtetabellen/dichte-von-wasser/</t>
  </si>
  <si>
    <t>Temperature (C)</t>
  </si>
  <si>
    <t>Pressure (MPa)</t>
  </si>
  <si>
    <t>Density (kg/m3)</t>
  </si>
  <si>
    <t>Volume (m3/kg)</t>
  </si>
  <si>
    <t>Internal Energy (kJ/kg)</t>
  </si>
  <si>
    <t>Enthalpy (kJ/kg)</t>
  </si>
  <si>
    <t>Entropy (J/g*K)</t>
  </si>
  <si>
    <t>Cv (J/g*K)</t>
  </si>
  <si>
    <t>Cp (J/g*K)</t>
  </si>
  <si>
    <t>Sound Spd. (m/s)</t>
  </si>
  <si>
    <t>Joule-Thomson (K/MPa)</t>
  </si>
  <si>
    <t>Viscosity (uPa*s)</t>
  </si>
  <si>
    <t>Therm. Cond. (W/m*K)</t>
  </si>
  <si>
    <t>Phase</t>
  </si>
  <si>
    <t>0.010000</t>
  </si>
  <si>
    <t>0.10132</t>
  </si>
  <si>
    <t>999.84</t>
  </si>
  <si>
    <t>0.0010002</t>
  </si>
  <si>
    <t>0.0018674</t>
  </si>
  <si>
    <t>0.10321</t>
  </si>
  <si>
    <t>1402.4</t>
  </si>
  <si>
    <t>-0.24141</t>
  </si>
  <si>
    <t>1790.9</t>
  </si>
  <si>
    <t>0.56109</t>
  </si>
  <si>
    <t>liquid</t>
  </si>
  <si>
    <t>0.51000</t>
  </si>
  <si>
    <t>999.88</t>
  </si>
  <si>
    <t>0.0010001</t>
  </si>
  <si>
    <t>0.0077215</t>
  </si>
  <si>
    <t>1404.9</t>
  </si>
  <si>
    <t>-0.24092</t>
  </si>
  <si>
    <t>1760.2</t>
  </si>
  <si>
    <t>0.56204</t>
  </si>
  <si>
    <t>999.90</t>
  </si>
  <si>
    <t>0.015419</t>
  </si>
  <si>
    <t>1407.4</t>
  </si>
  <si>
    <t>-0.24044</t>
  </si>
  <si>
    <t>1730.3</t>
  </si>
  <si>
    <t>0.56299</t>
  </si>
  <si>
    <t>999.92</t>
  </si>
  <si>
    <t>0.023100</t>
  </si>
  <si>
    <t>1409.9</t>
  </si>
  <si>
    <t>-0.23996</t>
  </si>
  <si>
    <t>1701.2</t>
  </si>
  <si>
    <t>0.56394</t>
  </si>
  <si>
    <t>999.94</t>
  </si>
  <si>
    <t>0.030764</t>
  </si>
  <si>
    <t>1412.3</t>
  </si>
  <si>
    <t>-0.23949</t>
  </si>
  <si>
    <t>1672.8</t>
  </si>
  <si>
    <t>0.56489</t>
  </si>
  <si>
    <t>999.96</t>
  </si>
  <si>
    <t>0.0010000</t>
  </si>
  <si>
    <t>0.038411</t>
  </si>
  <si>
    <t>1414.7</t>
  </si>
  <si>
    <t>-0.23902</t>
  </si>
  <si>
    <t>1645.3</t>
  </si>
  <si>
    <t>0.56584</t>
  </si>
  <si>
    <t>999.97</t>
  </si>
  <si>
    <t>0.046042</t>
  </si>
  <si>
    <t>1417.0</t>
  </si>
  <si>
    <t>-0.23856</t>
  </si>
  <si>
    <t>1618.4</t>
  </si>
  <si>
    <t>0.56679</t>
  </si>
  <si>
    <t>0.053656</t>
  </si>
  <si>
    <t>1419.4</t>
  </si>
  <si>
    <t>-0.23810</t>
  </si>
  <si>
    <t>1592.2</t>
  </si>
  <si>
    <t>0.56774</t>
  </si>
  <si>
    <t>0.061255</t>
  </si>
  <si>
    <t>1421.7</t>
  </si>
  <si>
    <t>-0.23764</t>
  </si>
  <si>
    <t>1566.7</t>
  </si>
  <si>
    <t>0.56869</t>
  </si>
  <si>
    <t>0.068837</t>
  </si>
  <si>
    <t>1424.0</t>
  </si>
  <si>
    <t>-0.23719</t>
  </si>
  <si>
    <t>1541.9</t>
  </si>
  <si>
    <t>0.56964</t>
  </si>
  <si>
    <t>0.076403</t>
  </si>
  <si>
    <t>1426.2</t>
  </si>
  <si>
    <t>-0.23675</t>
  </si>
  <si>
    <t>1517.6</t>
  </si>
  <si>
    <t>0.57059</t>
  </si>
  <si>
    <t>0.083954</t>
  </si>
  <si>
    <t>1428.4</t>
  </si>
  <si>
    <t>-0.23631</t>
  </si>
  <si>
    <t>1494.0</t>
  </si>
  <si>
    <t>0.57154</t>
  </si>
  <si>
    <t>0.091489</t>
  </si>
  <si>
    <t>1430.6</t>
  </si>
  <si>
    <t>-0.23587</t>
  </si>
  <si>
    <t>1471.0</t>
  </si>
  <si>
    <t>0.57249</t>
  </si>
  <si>
    <t>999.93</t>
  </si>
  <si>
    <t>0.099009</t>
  </si>
  <si>
    <t>1432.8</t>
  </si>
  <si>
    <t>-0.23543</t>
  </si>
  <si>
    <t>1448.5</t>
  </si>
  <si>
    <t>0.57344</t>
  </si>
  <si>
    <t>0.10651</t>
  </si>
  <si>
    <t>1435.0</t>
  </si>
  <si>
    <t>-0.23500</t>
  </si>
  <si>
    <t>1426.6</t>
  </si>
  <si>
    <t>0.57439</t>
  </si>
  <si>
    <t>0.11400</t>
  </si>
  <si>
    <t>1437.1</t>
  </si>
  <si>
    <t>-0.23458</t>
  </si>
  <si>
    <t>1405.2</t>
  </si>
  <si>
    <t>0.57534</t>
  </si>
  <si>
    <t>999.85</t>
  </si>
  <si>
    <t>0.12148</t>
  </si>
  <si>
    <t>1439.2</t>
  </si>
  <si>
    <t>-0.23415</t>
  </si>
  <si>
    <t>1384.3</t>
  </si>
  <si>
    <t>0.57629</t>
  </si>
  <si>
    <t>999.82</t>
  </si>
  <si>
    <t>0.12894</t>
  </si>
  <si>
    <t>1441.2</t>
  </si>
  <si>
    <t>-0.23373</t>
  </si>
  <si>
    <t>1363.9</t>
  </si>
  <si>
    <t>0.57723</t>
  </si>
  <si>
    <t>999.78</t>
  </si>
  <si>
    <t>0.13638</t>
  </si>
  <si>
    <t>1443.3</t>
  </si>
  <si>
    <t>-0.23332</t>
  </si>
  <si>
    <t>1344.0</t>
  </si>
  <si>
    <t>0.57818</t>
  </si>
  <si>
    <t>999.74</t>
  </si>
  <si>
    <t>0.0010003</t>
  </si>
  <si>
    <t>0.14381</t>
  </si>
  <si>
    <t>1445.3</t>
  </si>
  <si>
    <t>-0.23291</t>
  </si>
  <si>
    <t>1324.5</t>
  </si>
  <si>
    <t>0.57912</t>
  </si>
  <si>
    <t>999.70</t>
  </si>
  <si>
    <t>0.15123</t>
  </si>
  <si>
    <t>1447.3</t>
  </si>
  <si>
    <t>-0.23250</t>
  </si>
  <si>
    <t>1305.5</t>
  </si>
  <si>
    <t>0.58007</t>
  </si>
  <si>
    <t>999.66</t>
  </si>
  <si>
    <t>0.15863</t>
  </si>
  <si>
    <t>1449.3</t>
  </si>
  <si>
    <t>-0.23209</t>
  </si>
  <si>
    <t>1286.9</t>
  </si>
  <si>
    <t>0.58101</t>
  </si>
  <si>
    <t>999.61</t>
  </si>
  <si>
    <t>0.0010004</t>
  </si>
  <si>
    <t>0.16601</t>
  </si>
  <si>
    <t>1451.2</t>
  </si>
  <si>
    <t>-0.23169</t>
  </si>
  <si>
    <t>1268.8</t>
  </si>
  <si>
    <t>0.58195</t>
  </si>
  <si>
    <t>999.55</t>
  </si>
  <si>
    <t>0.17338</t>
  </si>
  <si>
    <t>1453.2</t>
  </si>
  <si>
    <t>-0.23129</t>
  </si>
  <si>
    <t>1251.0</t>
  </si>
  <si>
    <t>0.58289</t>
  </si>
  <si>
    <t>999.50</t>
  </si>
  <si>
    <t>0.0010005</t>
  </si>
  <si>
    <t>0.18074</t>
  </si>
  <si>
    <t>1455.1</t>
  </si>
  <si>
    <t>-0.23089</t>
  </si>
  <si>
    <t>1233.7</t>
  </si>
  <si>
    <t>0.58382</t>
  </si>
  <si>
    <t>999.44</t>
  </si>
  <si>
    <t>0.0010006</t>
  </si>
  <si>
    <t>0.18808</t>
  </si>
  <si>
    <t>1456.9</t>
  </si>
  <si>
    <t>-0.23050</t>
  </si>
  <si>
    <t>1216.7</t>
  </si>
  <si>
    <t>0.58476</t>
  </si>
  <si>
    <t>999.38</t>
  </si>
  <si>
    <t>0.19541</t>
  </si>
  <si>
    <t>1458.8</t>
  </si>
  <si>
    <t>-0.23011</t>
  </si>
  <si>
    <t>1200.1</t>
  </si>
  <si>
    <t>0.58569</t>
  </si>
  <si>
    <t>999.31</t>
  </si>
  <si>
    <t>0.0010007</t>
  </si>
  <si>
    <t>0.20273</t>
  </si>
  <si>
    <t>1460.6</t>
  </si>
  <si>
    <t>-0.22972</t>
  </si>
  <si>
    <t>1183.9</t>
  </si>
  <si>
    <t>0.58662</t>
  </si>
  <si>
    <t>999.25</t>
  </si>
  <si>
    <t>0.0010008</t>
  </si>
  <si>
    <t>0.21003</t>
  </si>
  <si>
    <t>1462.4</t>
  </si>
  <si>
    <t>-0.22933</t>
  </si>
  <si>
    <t>1168.0</t>
  </si>
  <si>
    <t>0.58755</t>
  </si>
  <si>
    <t>999.18</t>
  </si>
  <si>
    <t>0.21732</t>
  </si>
  <si>
    <t>1464.2</t>
  </si>
  <si>
    <t>-0.22895</t>
  </si>
  <si>
    <t>1152.5</t>
  </si>
  <si>
    <t>0.58848</t>
  </si>
  <si>
    <t>999.10</t>
  </si>
  <si>
    <t>0.0010009</t>
  </si>
  <si>
    <t>0.22459</t>
  </si>
  <si>
    <t>1466.0</t>
  </si>
  <si>
    <t>-0.22857</t>
  </si>
  <si>
    <t>1137.2</t>
  </si>
  <si>
    <t>0.58940</t>
  </si>
  <si>
    <t>999.02</t>
  </si>
  <si>
    <t>0.0010010</t>
  </si>
  <si>
    <t>0.23185</t>
  </si>
  <si>
    <t>1467.7</t>
  </si>
  <si>
    <t>-0.22819</t>
  </si>
  <si>
    <t>1122.4</t>
  </si>
  <si>
    <t>0.59032</t>
  </si>
  <si>
    <t>998.94</t>
  </si>
  <si>
    <t>0.0010011</t>
  </si>
  <si>
    <t>0.23910</t>
  </si>
  <si>
    <t>1469.4</t>
  </si>
  <si>
    <t>-0.22782</t>
  </si>
  <si>
    <t>1107.8</t>
  </si>
  <si>
    <t>0.59124</t>
  </si>
  <si>
    <t>998.86</t>
  </si>
  <si>
    <t>0.24634</t>
  </si>
  <si>
    <t>1471.1</t>
  </si>
  <si>
    <t>-0.22745</t>
  </si>
  <si>
    <t>1093.5</t>
  </si>
  <si>
    <t>0.59215</t>
  </si>
  <si>
    <t>998.78</t>
  </si>
  <si>
    <t>0.0010012</t>
  </si>
  <si>
    <t>0.25356</t>
  </si>
  <si>
    <t>1472.8</t>
  </si>
  <si>
    <t>-0.22708</t>
  </si>
  <si>
    <t>1079.5</t>
  </si>
  <si>
    <t>0.59307</t>
  </si>
  <si>
    <t>998.69</t>
  </si>
  <si>
    <t>0.0010013</t>
  </si>
  <si>
    <t>0.26076</t>
  </si>
  <si>
    <t>1474.4</t>
  </si>
  <si>
    <t>-0.22671</t>
  </si>
  <si>
    <t>1065.8</t>
  </si>
  <si>
    <t>0.59398</t>
  </si>
  <si>
    <t>998.60</t>
  </si>
  <si>
    <t>0.0010014</t>
  </si>
  <si>
    <t>0.26796</t>
  </si>
  <si>
    <t>1476.1</t>
  </si>
  <si>
    <t>-0.22635</t>
  </si>
  <si>
    <t>1052.4</t>
  </si>
  <si>
    <t>0.59488</t>
  </si>
  <si>
    <t>998.50</t>
  </si>
  <si>
    <t>0.0010015</t>
  </si>
  <si>
    <t>0.27514</t>
  </si>
  <si>
    <t>1477.7</t>
  </si>
  <si>
    <t>-0.22598</t>
  </si>
  <si>
    <t>1039.3</t>
  </si>
  <si>
    <t>0.59579</t>
  </si>
  <si>
    <t>998.41</t>
  </si>
  <si>
    <t>0.0010016</t>
  </si>
  <si>
    <t>0.28231</t>
  </si>
  <si>
    <t>1479.3</t>
  </si>
  <si>
    <t>-0.22562</t>
  </si>
  <si>
    <t>1026.4</t>
  </si>
  <si>
    <t>0.59669</t>
  </si>
  <si>
    <t>998.31</t>
  </si>
  <si>
    <t>0.0010017</t>
  </si>
  <si>
    <t>0.28946</t>
  </si>
  <si>
    <t>1480.8</t>
  </si>
  <si>
    <t>-0.22527</t>
  </si>
  <si>
    <t>1013.7</t>
  </si>
  <si>
    <t>0.59759</t>
  </si>
  <si>
    <t>998.21</t>
  </si>
  <si>
    <t>0.0010018</t>
  </si>
  <si>
    <t>0.29661</t>
  </si>
  <si>
    <t>1482.4</t>
  </si>
  <si>
    <t>-0.22491</t>
  </si>
  <si>
    <t>1001.4</t>
  </si>
  <si>
    <t>0.59848</t>
  </si>
  <si>
    <t>998.10</t>
  </si>
  <si>
    <t>0.0010019</t>
  </si>
  <si>
    <t>0.30374</t>
  </si>
  <si>
    <t>1483.9</t>
  </si>
  <si>
    <t>-0.22456</t>
  </si>
  <si>
    <t>989.22</t>
  </si>
  <si>
    <t>0.59937</t>
  </si>
  <si>
    <t>997.99</t>
  </si>
  <si>
    <t>0.0010020</t>
  </si>
  <si>
    <t>0.31085</t>
  </si>
  <si>
    <t>1485.4</t>
  </si>
  <si>
    <t>-0.22420</t>
  </si>
  <si>
    <t>977.32</t>
  </si>
  <si>
    <t>0.60026</t>
  </si>
  <si>
    <t>997.88</t>
  </si>
  <si>
    <t>0.0010021</t>
  </si>
  <si>
    <t>0.31796</t>
  </si>
  <si>
    <t>1486.9</t>
  </si>
  <si>
    <t>-0.22385</t>
  </si>
  <si>
    <t>965.65</t>
  </si>
  <si>
    <t>0.60114</t>
  </si>
  <si>
    <t>997.77</t>
  </si>
  <si>
    <t>0.0010022</t>
  </si>
  <si>
    <t>0.32505</t>
  </si>
  <si>
    <t>1488.4</t>
  </si>
  <si>
    <t>-0.22351</t>
  </si>
  <si>
    <t>954.20</t>
  </si>
  <si>
    <t>0.60202</t>
  </si>
  <si>
    <t>997.66</t>
  </si>
  <si>
    <t>0.0010023</t>
  </si>
  <si>
    <t>0.33213</t>
  </si>
  <si>
    <t>1489.8</t>
  </si>
  <si>
    <t>-0.22316</t>
  </si>
  <si>
    <t>942.96</t>
  </si>
  <si>
    <t>0.60289</t>
  </si>
  <si>
    <t>997.54</t>
  </si>
  <si>
    <t>0.0010025</t>
  </si>
  <si>
    <t>0.33919</t>
  </si>
  <si>
    <t>1491.2</t>
  </si>
  <si>
    <t>-0.22282</t>
  </si>
  <si>
    <t>931.94</t>
  </si>
  <si>
    <t>0.60377</t>
  </si>
  <si>
    <t>997.42</t>
  </si>
  <si>
    <t>0.0010026</t>
  </si>
  <si>
    <t>0.34625</t>
  </si>
  <si>
    <t>1492.6</t>
  </si>
  <si>
    <t>-0.22248</t>
  </si>
  <si>
    <t>921.13</t>
  </si>
  <si>
    <t>0.60463</t>
  </si>
  <si>
    <t>997.30</t>
  </si>
  <si>
    <t>0.0010027</t>
  </si>
  <si>
    <t>100.68</t>
  </si>
  <si>
    <t>100.78</t>
  </si>
  <si>
    <t>0.35329</t>
  </si>
  <si>
    <t>-0.22214</t>
  </si>
  <si>
    <t>910.52</t>
  </si>
  <si>
    <t>0.60550</t>
  </si>
  <si>
    <t>997.17</t>
  </si>
  <si>
    <t>0.0010028</t>
  </si>
  <si>
    <t>102.77</t>
  </si>
  <si>
    <t>102.87</t>
  </si>
  <si>
    <t>0.36032</t>
  </si>
  <si>
    <t>1495.4</t>
  </si>
  <si>
    <t>-0.22180</t>
  </si>
  <si>
    <t>900.10</t>
  </si>
  <si>
    <t>0.60636</t>
  </si>
  <si>
    <t>997.05</t>
  </si>
  <si>
    <t>0.0010030</t>
  </si>
  <si>
    <t>104.86</t>
  </si>
  <si>
    <t>104.96</t>
  </si>
  <si>
    <t>0.36734</t>
  </si>
  <si>
    <t>1496.7</t>
  </si>
  <si>
    <t>-0.22146</t>
  </si>
  <si>
    <t>889.88</t>
  </si>
  <si>
    <t>0.60721</t>
  </si>
  <si>
    <t>996.92</t>
  </si>
  <si>
    <t>0.0010031</t>
  </si>
  <si>
    <t>106.95</t>
  </si>
  <si>
    <t>107.05</t>
  </si>
  <si>
    <t>0.37435</t>
  </si>
  <si>
    <t>1498.1</t>
  </si>
  <si>
    <t>-0.22113</t>
  </si>
  <si>
    <t>879.84</t>
  </si>
  <si>
    <t>0.60806</t>
  </si>
  <si>
    <t>996.78</t>
  </si>
  <si>
    <t>0.0010032</t>
  </si>
  <si>
    <t>109.04</t>
  </si>
  <si>
    <t>109.14</t>
  </si>
  <si>
    <t>0.38134</t>
  </si>
  <si>
    <t>1499.4</t>
  </si>
  <si>
    <t>-0.22079</t>
  </si>
  <si>
    <t>869.99</t>
  </si>
  <si>
    <t>0.60891</t>
  </si>
  <si>
    <t>996.65</t>
  </si>
  <si>
    <t>0.0010034</t>
  </si>
  <si>
    <t>111.13</t>
  </si>
  <si>
    <t>111.23</t>
  </si>
  <si>
    <t>0.38832</t>
  </si>
  <si>
    <t>1500.7</t>
  </si>
  <si>
    <t>-0.22046</t>
  </si>
  <si>
    <t>860.31</t>
  </si>
  <si>
    <t>0.60975</t>
  </si>
  <si>
    <t>996.51</t>
  </si>
  <si>
    <t>0.0010035</t>
  </si>
  <si>
    <t>113.22</t>
  </si>
  <si>
    <t>113.32</t>
  </si>
  <si>
    <t>0.39529</t>
  </si>
  <si>
    <t>1501.9</t>
  </si>
  <si>
    <t>-0.22013</t>
  </si>
  <si>
    <t>850.80</t>
  </si>
  <si>
    <t>0.61059</t>
  </si>
  <si>
    <t>996.37</t>
  </si>
  <si>
    <t>0.0010036</t>
  </si>
  <si>
    <t>115.31</t>
  </si>
  <si>
    <t>115.41</t>
  </si>
  <si>
    <t>0.40225</t>
  </si>
  <si>
    <t>1503.2</t>
  </si>
  <si>
    <t>-0.21980</t>
  </si>
  <si>
    <t>841.47</t>
  </si>
  <si>
    <t>0.61142</t>
  </si>
  <si>
    <t>996.23</t>
  </si>
  <si>
    <t>0.0010038</t>
  </si>
  <si>
    <t>117.40</t>
  </si>
  <si>
    <t>117.50</t>
  </si>
  <si>
    <t>0.40920</t>
  </si>
  <si>
    <t>1504.4</t>
  </si>
  <si>
    <t>-0.21948</t>
  </si>
  <si>
    <t>832.29</t>
  </si>
  <si>
    <t>0.61225</t>
  </si>
  <si>
    <t>996.09</t>
  </si>
  <si>
    <t>0.0010039</t>
  </si>
  <si>
    <t>119.49</t>
  </si>
  <si>
    <t>119.59</t>
  </si>
  <si>
    <t>0.41613</t>
  </si>
  <si>
    <t>1505.6</t>
  </si>
  <si>
    <t>-0.21915</t>
  </si>
  <si>
    <t>823.28</t>
  </si>
  <si>
    <t>0.61307</t>
  </si>
  <si>
    <t>995.94</t>
  </si>
  <si>
    <t>0.0010041</t>
  </si>
  <si>
    <t>121.58</t>
  </si>
  <si>
    <t>121.68</t>
  </si>
  <si>
    <t>0.42305</t>
  </si>
  <si>
    <t>1506.8</t>
  </si>
  <si>
    <t>-0.21883</t>
  </si>
  <si>
    <t>814.43</t>
  </si>
  <si>
    <t>0.61389</t>
  </si>
  <si>
    <t>995.80</t>
  </si>
  <si>
    <t>0.0010042</t>
  </si>
  <si>
    <t>123.67</t>
  </si>
  <si>
    <t>123.77</t>
  </si>
  <si>
    <t>0.42996</t>
  </si>
  <si>
    <t>1508.0</t>
  </si>
  <si>
    <t>-0.21851</t>
  </si>
  <si>
    <t>805.73</t>
  </si>
  <si>
    <t>0.61471</t>
  </si>
  <si>
    <t>995.65</t>
  </si>
  <si>
    <t>0.0010044</t>
  </si>
  <si>
    <t>125.76</t>
  </si>
  <si>
    <t>125.86</t>
  </si>
  <si>
    <t>0.43686</t>
  </si>
  <si>
    <t>1509.2</t>
  </si>
  <si>
    <t>-0.21818</t>
  </si>
  <si>
    <t>797.18</t>
  </si>
  <si>
    <t>0.61552</t>
  </si>
  <si>
    <t>995.49</t>
  </si>
  <si>
    <t>0.0010045</t>
  </si>
  <si>
    <t>127.85</t>
  </si>
  <si>
    <t>127.95</t>
  </si>
  <si>
    <t>0.44375</t>
  </si>
  <si>
    <t>1510.3</t>
  </si>
  <si>
    <t>-0.21787</t>
  </si>
  <si>
    <t>788.77</t>
  </si>
  <si>
    <t>0.61632</t>
  </si>
  <si>
    <t>995.34</t>
  </si>
  <si>
    <t>0.0010047</t>
  </si>
  <si>
    <t>129.94</t>
  </si>
  <si>
    <t>130.04</t>
  </si>
  <si>
    <t>0.45063</t>
  </si>
  <si>
    <t>1511.5</t>
  </si>
  <si>
    <t>-0.21755</t>
  </si>
  <si>
    <t>780.51</t>
  </si>
  <si>
    <t>0.61712</t>
  </si>
  <si>
    <t>995.18</t>
  </si>
  <si>
    <t>0.0010048</t>
  </si>
  <si>
    <t>132.03</t>
  </si>
  <si>
    <t>132.13</t>
  </si>
  <si>
    <t>0.45749</t>
  </si>
  <si>
    <t>1512.6</t>
  </si>
  <si>
    <t>-0.21723</t>
  </si>
  <si>
    <t>772.39</t>
  </si>
  <si>
    <t>0.61792</t>
  </si>
  <si>
    <t>995.02</t>
  </si>
  <si>
    <t>0.0010050</t>
  </si>
  <si>
    <t>134.12</t>
  </si>
  <si>
    <t>134.22</t>
  </si>
  <si>
    <t>0.46435</t>
  </si>
  <si>
    <t>1513.7</t>
  </si>
  <si>
    <t>-0.21692</t>
  </si>
  <si>
    <t>764.40</t>
  </si>
  <si>
    <t>0.61871</t>
  </si>
  <si>
    <t>994.86</t>
  </si>
  <si>
    <t>0.0010052</t>
  </si>
  <si>
    <t>136.21</t>
  </si>
  <si>
    <t>136.31</t>
  </si>
  <si>
    <t>0.47119</t>
  </si>
  <si>
    <t>1514.7</t>
  </si>
  <si>
    <t>-0.21660</t>
  </si>
  <si>
    <t>756.55</t>
  </si>
  <si>
    <t>0.61949</t>
  </si>
  <si>
    <t>994.70</t>
  </si>
  <si>
    <t>0.0010053</t>
  </si>
  <si>
    <t>138.30</t>
  </si>
  <si>
    <t>138.40</t>
  </si>
  <si>
    <t>0.47802</t>
  </si>
  <si>
    <t>1515.8</t>
  </si>
  <si>
    <t>-0.21629</t>
  </si>
  <si>
    <t>748.82</t>
  </si>
  <si>
    <t>0.62027</t>
  </si>
  <si>
    <t>994.54</t>
  </si>
  <si>
    <t>0.0010055</t>
  </si>
  <si>
    <t>140.39</t>
  </si>
  <si>
    <t>140.49</t>
  </si>
  <si>
    <t>0.48484</t>
  </si>
  <si>
    <t>1516.8</t>
  </si>
  <si>
    <t>-0.21598</t>
  </si>
  <si>
    <t>741.23</t>
  </si>
  <si>
    <t>0.62105</t>
  </si>
  <si>
    <t>994.37</t>
  </si>
  <si>
    <t>0.0010057</t>
  </si>
  <si>
    <t>142.48</t>
  </si>
  <si>
    <t>142.58</t>
  </si>
  <si>
    <t>0.49165</t>
  </si>
  <si>
    <t>1517.9</t>
  </si>
  <si>
    <t>-0.21567</t>
  </si>
  <si>
    <t>733.75</t>
  </si>
  <si>
    <t>0.62182</t>
  </si>
  <si>
    <t>994.20</t>
  </si>
  <si>
    <t>0.0010058</t>
  </si>
  <si>
    <t>144.57</t>
  </si>
  <si>
    <t>144.67</t>
  </si>
  <si>
    <t>0.49845</t>
  </si>
  <si>
    <t>1518.9</t>
  </si>
  <si>
    <t>-0.21536</t>
  </si>
  <si>
    <t>726.40</t>
  </si>
  <si>
    <t>0.62258</t>
  </si>
  <si>
    <t>994.03</t>
  </si>
  <si>
    <t>0.0010060</t>
  </si>
  <si>
    <t>146.66</t>
  </si>
  <si>
    <t>146.76</t>
  </si>
  <si>
    <t>0.50523</t>
  </si>
  <si>
    <t>1519.9</t>
  </si>
  <si>
    <t>-0.21505</t>
  </si>
  <si>
    <t>719.17</t>
  </si>
  <si>
    <t>0.62334</t>
  </si>
  <si>
    <t>993.86</t>
  </si>
  <si>
    <t>0.0010062</t>
  </si>
  <si>
    <t>148.75</t>
  </si>
  <si>
    <t>148.85</t>
  </si>
  <si>
    <t>0.51201</t>
  </si>
  <si>
    <t>1520.8</t>
  </si>
  <si>
    <t>-0.21474</t>
  </si>
  <si>
    <t>712.06</t>
  </si>
  <si>
    <t>0.62409</t>
  </si>
  <si>
    <t>993.68</t>
  </si>
  <si>
    <t>0.0010064</t>
  </si>
  <si>
    <t>150.84</t>
  </si>
  <si>
    <t>150.94</t>
  </si>
  <si>
    <t>0.51877</t>
  </si>
  <si>
    <t>1521.8</t>
  </si>
  <si>
    <t>-0.21444</t>
  </si>
  <si>
    <t>705.06</t>
  </si>
  <si>
    <t>0.62484</t>
  </si>
  <si>
    <t>993.51</t>
  </si>
  <si>
    <t>0.0010065</t>
  </si>
  <si>
    <t>152.93</t>
  </si>
  <si>
    <t>153.03</t>
  </si>
  <si>
    <t>0.52553</t>
  </si>
  <si>
    <t>1522.7</t>
  </si>
  <si>
    <t>-0.21413</t>
  </si>
  <si>
    <t>698.16</t>
  </si>
  <si>
    <t>0.62559</t>
  </si>
  <si>
    <t>993.33</t>
  </si>
  <si>
    <t>0.0010067</t>
  </si>
  <si>
    <t>155.02</t>
  </si>
  <si>
    <t>155.12</t>
  </si>
  <si>
    <t>0.53227</t>
  </si>
  <si>
    <t>1523.7</t>
  </si>
  <si>
    <t>-0.21383</t>
  </si>
  <si>
    <t>691.38</t>
  </si>
  <si>
    <t>0.62633</t>
  </si>
  <si>
    <t>993.15</t>
  </si>
  <si>
    <t>0.0010069</t>
  </si>
  <si>
    <t>157.11</t>
  </si>
  <si>
    <t>157.21</t>
  </si>
  <si>
    <t>0.53900</t>
  </si>
  <si>
    <t>1524.6</t>
  </si>
  <si>
    <t>-0.21353</t>
  </si>
  <si>
    <t>684.71</t>
  </si>
  <si>
    <t>0.62706</t>
  </si>
  <si>
    <t>992.96</t>
  </si>
  <si>
    <t>0.0010071</t>
  </si>
  <si>
    <t>159.20</t>
  </si>
  <si>
    <t>159.30</t>
  </si>
  <si>
    <t>0.54572</t>
  </si>
  <si>
    <t>1525.5</t>
  </si>
  <si>
    <t>-0.21323</t>
  </si>
  <si>
    <t>678.14</t>
  </si>
  <si>
    <t>0.62779</t>
  </si>
  <si>
    <t>992.78</t>
  </si>
  <si>
    <t>0.0010073</t>
  </si>
  <si>
    <t>161.29</t>
  </si>
  <si>
    <t>161.39</t>
  </si>
  <si>
    <t>0.55243</t>
  </si>
  <si>
    <t>1526.4</t>
  </si>
  <si>
    <t>-0.21293</t>
  </si>
  <si>
    <t>671.67</t>
  </si>
  <si>
    <t>0.62851</t>
  </si>
  <si>
    <t>992.59</t>
  </si>
  <si>
    <t>0.0010075</t>
  </si>
  <si>
    <t>163.38</t>
  </si>
  <si>
    <t>163.48</t>
  </si>
  <si>
    <t>0.55913</t>
  </si>
  <si>
    <t>1527.2</t>
  </si>
  <si>
    <t>-0.21263</t>
  </si>
  <si>
    <t>665.30</t>
  </si>
  <si>
    <t>0.62922</t>
  </si>
  <si>
    <t>992.40</t>
  </si>
  <si>
    <t>0.0010077</t>
  </si>
  <si>
    <t>165.47</t>
  </si>
  <si>
    <t>165.57</t>
  </si>
  <si>
    <t>0.56582</t>
  </si>
  <si>
    <t>1528.1</t>
  </si>
  <si>
    <t>-0.21233</t>
  </si>
  <si>
    <t>659.03</t>
  </si>
  <si>
    <t>0.62994</t>
  </si>
  <si>
    <t>992.21</t>
  </si>
  <si>
    <t>0.0010078</t>
  </si>
  <si>
    <t>167.56</t>
  </si>
  <si>
    <t>167.66</t>
  </si>
  <si>
    <t>0.57250</t>
  </si>
  <si>
    <t>1528.9</t>
  </si>
  <si>
    <t>-0.21203</t>
  </si>
  <si>
    <t>652.86</t>
  </si>
  <si>
    <t>0.63064</t>
  </si>
  <si>
    <t>992.02</t>
  </si>
  <si>
    <t>0.0010080</t>
  </si>
  <si>
    <t>169.65</t>
  </si>
  <si>
    <t>169.75</t>
  </si>
  <si>
    <t>0.57917</t>
  </si>
  <si>
    <t>1529.7</t>
  </si>
  <si>
    <t>-0.21173</t>
  </si>
  <si>
    <t>646.77</t>
  </si>
  <si>
    <t>0.63134</t>
  </si>
  <si>
    <t>991.83</t>
  </si>
  <si>
    <t>0.0010082</t>
  </si>
  <si>
    <t>171.74</t>
  </si>
  <si>
    <t>171.84</t>
  </si>
  <si>
    <t>0.58582</t>
  </si>
  <si>
    <t>1530.5</t>
  </si>
  <si>
    <t>-0.21144</t>
  </si>
  <si>
    <t>640.78</t>
  </si>
  <si>
    <t>0.63204</t>
  </si>
  <si>
    <t>991.63</t>
  </si>
  <si>
    <t>0.0010084</t>
  </si>
  <si>
    <t>173.83</t>
  </si>
  <si>
    <t>173.93</t>
  </si>
  <si>
    <t>0.59247</t>
  </si>
  <si>
    <t>1531.3</t>
  </si>
  <si>
    <t>-0.21114</t>
  </si>
  <si>
    <t>634.88</t>
  </si>
  <si>
    <t>0.63273</t>
  </si>
  <si>
    <t>991.43</t>
  </si>
  <si>
    <t>0.0010086</t>
  </si>
  <si>
    <t>175.91</t>
  </si>
  <si>
    <t>176.02</t>
  </si>
  <si>
    <t>0.59911</t>
  </si>
  <si>
    <t>1532.1</t>
  </si>
  <si>
    <t>-0.21085</t>
  </si>
  <si>
    <t>629.07</t>
  </si>
  <si>
    <t>0.63341</t>
  </si>
  <si>
    <t>991.23</t>
  </si>
  <si>
    <t>0.0010088</t>
  </si>
  <si>
    <t>178.00</t>
  </si>
  <si>
    <t>178.11</t>
  </si>
  <si>
    <t>0.60573</t>
  </si>
  <si>
    <t>1532.9</t>
  </si>
  <si>
    <t>-0.21055</t>
  </si>
  <si>
    <t>623.35</t>
  </si>
  <si>
    <t>0.63409</t>
  </si>
  <si>
    <t>991.03</t>
  </si>
  <si>
    <t>0.0010090</t>
  </si>
  <si>
    <t>180.09</t>
  </si>
  <si>
    <t>180.20</t>
  </si>
  <si>
    <t>0.61235</t>
  </si>
  <si>
    <t>1533.6</t>
  </si>
  <si>
    <t>-0.21026</t>
  </si>
  <si>
    <t>617.71</t>
  </si>
  <si>
    <t>0.63476</t>
  </si>
  <si>
    <t>990.83</t>
  </si>
  <si>
    <t>0.0010093</t>
  </si>
  <si>
    <t>182.18</t>
  </si>
  <si>
    <t>182.29</t>
  </si>
  <si>
    <t>0.61895</t>
  </si>
  <si>
    <t>1534.4</t>
  </si>
  <si>
    <t>-0.20997</t>
  </si>
  <si>
    <t>612.15</t>
  </si>
  <si>
    <t>0.63543</t>
  </si>
  <si>
    <t>990.62</t>
  </si>
  <si>
    <t>0.0010095</t>
  </si>
  <si>
    <t>184.27</t>
  </si>
  <si>
    <t>184.38</t>
  </si>
  <si>
    <t>0.62555</t>
  </si>
  <si>
    <t>1535.1</t>
  </si>
  <si>
    <t>-0.20968</t>
  </si>
  <si>
    <t>606.68</t>
  </si>
  <si>
    <t>0.63609</t>
  </si>
  <si>
    <t>990.42</t>
  </si>
  <si>
    <t>0.0010097</t>
  </si>
  <si>
    <t>186.36</t>
  </si>
  <si>
    <t>186.47</t>
  </si>
  <si>
    <t>0.63213</t>
  </si>
  <si>
    <t>1535.8</t>
  </si>
  <si>
    <t>-0.20939</t>
  </si>
  <si>
    <t>601.28</t>
  </si>
  <si>
    <t>0.63675</t>
  </si>
  <si>
    <t>990.21</t>
  </si>
  <si>
    <t>0.0010099</t>
  </si>
  <si>
    <t>188.45</t>
  </si>
  <si>
    <t>188.56</t>
  </si>
  <si>
    <t>0.63871</t>
  </si>
  <si>
    <t>1536.5</t>
  </si>
  <si>
    <t>-0.20910</t>
  </si>
  <si>
    <t>595.96</t>
  </si>
  <si>
    <t>0.63740</t>
  </si>
  <si>
    <t>990.00</t>
  </si>
  <si>
    <t>0.0010101</t>
  </si>
  <si>
    <t>190.54</t>
  </si>
  <si>
    <t>190.65</t>
  </si>
  <si>
    <t>0.64527</t>
  </si>
  <si>
    <t>1537.1</t>
  </si>
  <si>
    <t>-0.20881</t>
  </si>
  <si>
    <t>590.72</t>
  </si>
  <si>
    <t>0.63804</t>
  </si>
  <si>
    <t>989.79</t>
  </si>
  <si>
    <t>0.0010103</t>
  </si>
  <si>
    <t>192.63</t>
  </si>
  <si>
    <t>192.74</t>
  </si>
  <si>
    <t>0.65182</t>
  </si>
  <si>
    <t>1537.8</t>
  </si>
  <si>
    <t>-0.20852</t>
  </si>
  <si>
    <t>585.55</t>
  </si>
  <si>
    <t>0.63868</t>
  </si>
  <si>
    <t>989.57</t>
  </si>
  <si>
    <t>0.0010105</t>
  </si>
  <si>
    <t>194.72</t>
  </si>
  <si>
    <t>194.83</t>
  </si>
  <si>
    <t>0.65837</t>
  </si>
  <si>
    <t>1538.4</t>
  </si>
  <si>
    <t>-0.20824</t>
  </si>
  <si>
    <t>580.46</t>
  </si>
  <si>
    <t>0.63932</t>
  </si>
  <si>
    <t>989.36</t>
  </si>
  <si>
    <t>0.0010108</t>
  </si>
  <si>
    <t>196.82</t>
  </si>
  <si>
    <t>196.92</t>
  </si>
  <si>
    <t>0.66490</t>
  </si>
  <si>
    <t>1539.1</t>
  </si>
  <si>
    <t>-0.20795</t>
  </si>
  <si>
    <t>575.44</t>
  </si>
  <si>
    <t>0.63995</t>
  </si>
  <si>
    <t>989.14</t>
  </si>
  <si>
    <t>0.0010110</t>
  </si>
  <si>
    <t>198.91</t>
  </si>
  <si>
    <t>199.01</t>
  </si>
  <si>
    <t>0.67143</t>
  </si>
  <si>
    <t>1539.7</t>
  </si>
  <si>
    <t>-0.20766</t>
  </si>
  <si>
    <t>570.49</t>
  </si>
  <si>
    <t>0.64057</t>
  </si>
  <si>
    <t>988.92</t>
  </si>
  <si>
    <t>0.0010112</t>
  </si>
  <si>
    <t>201.00</t>
  </si>
  <si>
    <t>201.10</t>
  </si>
  <si>
    <t>0.67794</t>
  </si>
  <si>
    <t>1540.3</t>
  </si>
  <si>
    <t>-0.20738</t>
  </si>
  <si>
    <t>565.61</t>
  </si>
  <si>
    <t>0.64119</t>
  </si>
  <si>
    <t>988.70</t>
  </si>
  <si>
    <t>0.0010114</t>
  </si>
  <si>
    <t>203.09</t>
  </si>
  <si>
    <t>203.19</t>
  </si>
  <si>
    <t>0.68444</t>
  </si>
  <si>
    <t>1540.9</t>
  </si>
  <si>
    <t>-0.20709</t>
  </si>
  <si>
    <t>560.80</t>
  </si>
  <si>
    <t>0.64180</t>
  </si>
  <si>
    <t>988.48</t>
  </si>
  <si>
    <t>0.0010117</t>
  </si>
  <si>
    <t>205.18</t>
  </si>
  <si>
    <t>205.28</t>
  </si>
  <si>
    <t>0.69094</t>
  </si>
  <si>
    <t>1541.5</t>
  </si>
  <si>
    <t>-0.20681</t>
  </si>
  <si>
    <t>556.05</t>
  </si>
  <si>
    <t>0.64241</t>
  </si>
  <si>
    <t>988.26</t>
  </si>
  <si>
    <t>0.0010119</t>
  </si>
  <si>
    <t>207.27</t>
  </si>
  <si>
    <t>207.37</t>
  </si>
  <si>
    <t>0.69742</t>
  </si>
  <si>
    <t>1542.0</t>
  </si>
  <si>
    <t>-0.20652</t>
  </si>
  <si>
    <t>551.37</t>
  </si>
  <si>
    <t>0.64301</t>
  </si>
  <si>
    <t>988.03</t>
  </si>
  <si>
    <t>0.0010121</t>
  </si>
  <si>
    <t>209.36</t>
  </si>
  <si>
    <t>209.46</t>
  </si>
  <si>
    <t>0.70390</t>
  </si>
  <si>
    <t>1542.6</t>
  </si>
  <si>
    <t>-0.20624</t>
  </si>
  <si>
    <t>546.76</t>
  </si>
  <si>
    <t>0.64361</t>
  </si>
  <si>
    <t>987.80</t>
  </si>
  <si>
    <t>0.0010123</t>
  </si>
  <si>
    <t>211.45</t>
  </si>
  <si>
    <t>211.55</t>
  </si>
  <si>
    <t>0.71036</t>
  </si>
  <si>
    <t>1543.1</t>
  </si>
  <si>
    <t>-0.20596</t>
  </si>
  <si>
    <t>542.20</t>
  </si>
  <si>
    <t>0.64420</t>
  </si>
  <si>
    <t>987.57</t>
  </si>
  <si>
    <t>0.0010126</t>
  </si>
  <si>
    <t>213.54</t>
  </si>
  <si>
    <t>213.64</t>
  </si>
  <si>
    <t>0.71682</t>
  </si>
  <si>
    <t>1543.7</t>
  </si>
  <si>
    <t>-0.20568</t>
  </si>
  <si>
    <t>537.71</t>
  </si>
  <si>
    <t>0.64478</t>
  </si>
  <si>
    <t>987.34</t>
  </si>
  <si>
    <t>0.0010128</t>
  </si>
  <si>
    <t>215.63</t>
  </si>
  <si>
    <t>215.73</t>
  </si>
  <si>
    <t>0.72326</t>
  </si>
  <si>
    <t>1544.2</t>
  </si>
  <si>
    <t>-0.20539</t>
  </si>
  <si>
    <t>533.29</t>
  </si>
  <si>
    <t>0.64536</t>
  </si>
  <si>
    <t>987.11</t>
  </si>
  <si>
    <t>0.0010131</t>
  </si>
  <si>
    <t>217.72</t>
  </si>
  <si>
    <t>217.82</t>
  </si>
  <si>
    <t>0.72970</t>
  </si>
  <si>
    <t>1544.7</t>
  </si>
  <si>
    <t>-0.20511</t>
  </si>
  <si>
    <t>528.92</t>
  </si>
  <si>
    <t>0.64594</t>
  </si>
  <si>
    <t>986.88</t>
  </si>
  <si>
    <t>0.0010133</t>
  </si>
  <si>
    <t>219.81</t>
  </si>
  <si>
    <t>219.91</t>
  </si>
  <si>
    <t>0.73612</t>
  </si>
  <si>
    <t>1545.2</t>
  </si>
  <si>
    <t>-0.20483</t>
  </si>
  <si>
    <t>524.61</t>
  </si>
  <si>
    <t>0.64650</t>
  </si>
  <si>
    <t>986.64</t>
  </si>
  <si>
    <t>0.0010135</t>
  </si>
  <si>
    <t>221.90</t>
  </si>
  <si>
    <t>222.01</t>
  </si>
  <si>
    <t>0.74254</t>
  </si>
  <si>
    <t>1545.6</t>
  </si>
  <si>
    <t>-0.20455</t>
  </si>
  <si>
    <t>520.35</t>
  </si>
  <si>
    <t>0.64707</t>
  </si>
  <si>
    <t>986.41</t>
  </si>
  <si>
    <t>0.0010138</t>
  </si>
  <si>
    <t>223.99</t>
  </si>
  <si>
    <t>224.10</t>
  </si>
  <si>
    <t>0.74895</t>
  </si>
  <si>
    <t>1546.1</t>
  </si>
  <si>
    <t>-0.20427</t>
  </si>
  <si>
    <t>516.16</t>
  </si>
  <si>
    <t>0.64763</t>
  </si>
  <si>
    <t>986.17</t>
  </si>
  <si>
    <t>0.0010140</t>
  </si>
  <si>
    <t>226.09</t>
  </si>
  <si>
    <t>226.19</t>
  </si>
  <si>
    <t>0.75534</t>
  </si>
  <si>
    <t>1546.5</t>
  </si>
  <si>
    <t>-0.20399</t>
  </si>
  <si>
    <t>512.02</t>
  </si>
  <si>
    <t>0.64818</t>
  </si>
  <si>
    <t>985.93</t>
  </si>
  <si>
    <t>0.0010143</t>
  </si>
  <si>
    <t>228.18</t>
  </si>
  <si>
    <t>228.28</t>
  </si>
  <si>
    <t>0.76173</t>
  </si>
  <si>
    <t>1547.0</t>
  </si>
  <si>
    <t>-0.20371</t>
  </si>
  <si>
    <t>507.93</t>
  </si>
  <si>
    <t>0.64873</t>
  </si>
  <si>
    <t>985.69</t>
  </si>
  <si>
    <t>0.0010145</t>
  </si>
  <si>
    <t>230.27</t>
  </si>
  <si>
    <t>230.37</t>
  </si>
  <si>
    <t>0.76811</t>
  </si>
  <si>
    <t>1547.4</t>
  </si>
  <si>
    <t>-0.20343</t>
  </si>
  <si>
    <t>503.90</t>
  </si>
  <si>
    <t>0.64927</t>
  </si>
  <si>
    <t>985.45</t>
  </si>
  <si>
    <t>0.0010148</t>
  </si>
  <si>
    <t>232.36</t>
  </si>
  <si>
    <t>232.46</t>
  </si>
  <si>
    <t>0.77448</t>
  </si>
  <si>
    <t>1547.8</t>
  </si>
  <si>
    <t>-0.20316</t>
  </si>
  <si>
    <t>499.92</t>
  </si>
  <si>
    <t>0.64980</t>
  </si>
  <si>
    <t>985.20</t>
  </si>
  <si>
    <t>0.0010150</t>
  </si>
  <si>
    <t>234.45</t>
  </si>
  <si>
    <t>234.55</t>
  </si>
  <si>
    <t>0.78084</t>
  </si>
  <si>
    <t>1548.2</t>
  </si>
  <si>
    <t>-0.20288</t>
  </si>
  <si>
    <t>495.99</t>
  </si>
  <si>
    <t>0.65033</t>
  </si>
  <si>
    <t>984.95</t>
  </si>
  <si>
    <t>0.0010153</t>
  </si>
  <si>
    <t>236.54</t>
  </si>
  <si>
    <t>236.65</t>
  </si>
  <si>
    <t>0.78719</t>
  </si>
  <si>
    <t>1548.6</t>
  </si>
  <si>
    <t>-0.20260</t>
  </si>
  <si>
    <t>492.11</t>
  </si>
  <si>
    <t>0.65086</t>
  </si>
  <si>
    <t>984.71</t>
  </si>
  <si>
    <t>0.0010155</t>
  </si>
  <si>
    <t>238.63</t>
  </si>
  <si>
    <t>238.74</t>
  </si>
  <si>
    <t>0.79353</t>
  </si>
  <si>
    <t>1549.0</t>
  </si>
  <si>
    <t>-0.20232</t>
  </si>
  <si>
    <t>488.29</t>
  </si>
  <si>
    <t>0.65138</t>
  </si>
  <si>
    <t>984.46</t>
  </si>
  <si>
    <t>0.0010158</t>
  </si>
  <si>
    <t>240.73</t>
  </si>
  <si>
    <t>240.83</t>
  </si>
  <si>
    <t>0.79986</t>
  </si>
  <si>
    <t>1549.3</t>
  </si>
  <si>
    <t>-0.20205</t>
  </si>
  <si>
    <t>484.51</t>
  </si>
  <si>
    <t>0.65190</t>
  </si>
  <si>
    <t>984.21</t>
  </si>
  <si>
    <t>0.0010160</t>
  </si>
  <si>
    <t>242.82</t>
  </si>
  <si>
    <t>242.92</t>
  </si>
  <si>
    <t>0.80618</t>
  </si>
  <si>
    <t>1549.7</t>
  </si>
  <si>
    <t>-0.20177</t>
  </si>
  <si>
    <t>480.78</t>
  </si>
  <si>
    <t>0.65241</t>
  </si>
  <si>
    <t>983.96</t>
  </si>
  <si>
    <t>0.0010163</t>
  </si>
  <si>
    <t>244.91</t>
  </si>
  <si>
    <t>245.01</t>
  </si>
  <si>
    <t>0.81249</t>
  </si>
  <si>
    <t>1550.0</t>
  </si>
  <si>
    <t>-0.20149</t>
  </si>
  <si>
    <t>477.10</t>
  </si>
  <si>
    <t>0.65291</t>
  </si>
  <si>
    <t>983.70</t>
  </si>
  <si>
    <t>0.0010166</t>
  </si>
  <si>
    <t>247.00</t>
  </si>
  <si>
    <t>247.11</t>
  </si>
  <si>
    <t>0.81880</t>
  </si>
  <si>
    <t>1550.4</t>
  </si>
  <si>
    <t>-0.20122</t>
  </si>
  <si>
    <t>473.46</t>
  </si>
  <si>
    <t>0.65341</t>
  </si>
  <si>
    <t>983.45</t>
  </si>
  <si>
    <t>0.0010168</t>
  </si>
  <si>
    <t>249.10</t>
  </si>
  <si>
    <t>249.20</t>
  </si>
  <si>
    <t>0.82509</t>
  </si>
  <si>
    <t>1550.7</t>
  </si>
  <si>
    <t>-0.20094</t>
  </si>
  <si>
    <t>469.87</t>
  </si>
  <si>
    <t>0.65391</t>
  </si>
  <si>
    <t>983.19</t>
  </si>
  <si>
    <t>0.0010171</t>
  </si>
  <si>
    <t>251.19</t>
  </si>
  <si>
    <t>251.29</t>
  </si>
  <si>
    <t>0.83138</t>
  </si>
  <si>
    <t>1551.0</t>
  </si>
  <si>
    <t>-0.20066</t>
  </si>
  <si>
    <t>466.33</t>
  </si>
  <si>
    <t>0.65440</t>
  </si>
  <si>
    <t>982.93</t>
  </si>
  <si>
    <t>0.0010174</t>
  </si>
  <si>
    <t>253.28</t>
  </si>
  <si>
    <t>253.38</t>
  </si>
  <si>
    <t>0.83765</t>
  </si>
  <si>
    <t>1551.3</t>
  </si>
  <si>
    <t>-0.20039</t>
  </si>
  <si>
    <t>462.82</t>
  </si>
  <si>
    <t>0.65488</t>
  </si>
  <si>
    <t>982.67</t>
  </si>
  <si>
    <t>0.0010176</t>
  </si>
  <si>
    <t>255.37</t>
  </si>
  <si>
    <t>255.48</t>
  </si>
  <si>
    <t>0.84392</t>
  </si>
  <si>
    <t>1551.6</t>
  </si>
  <si>
    <t>-0.20011</t>
  </si>
  <si>
    <t>459.37</t>
  </si>
  <si>
    <t>0.65536</t>
  </si>
  <si>
    <t>982.41</t>
  </si>
  <si>
    <t>0.0010179</t>
  </si>
  <si>
    <t>257.47</t>
  </si>
  <si>
    <t>257.57</t>
  </si>
  <si>
    <t>0.85018</t>
  </si>
  <si>
    <t>1551.8</t>
  </si>
  <si>
    <t>-0.19984</t>
  </si>
  <si>
    <t>455.95</t>
  </si>
  <si>
    <t>0.65583</t>
  </si>
  <si>
    <t>982.15</t>
  </si>
  <si>
    <t>0.0010182</t>
  </si>
  <si>
    <t>259.56</t>
  </si>
  <si>
    <t>259.66</t>
  </si>
  <si>
    <t>0.85643</t>
  </si>
  <si>
    <t>1552.1</t>
  </si>
  <si>
    <t>-0.19956</t>
  </si>
  <si>
    <t>452.58</t>
  </si>
  <si>
    <t>0.65630</t>
  </si>
  <si>
    <t>981.89</t>
  </si>
  <si>
    <t>0.0010184</t>
  </si>
  <si>
    <t>261.65</t>
  </si>
  <si>
    <t>261.75</t>
  </si>
  <si>
    <t>0.86267</t>
  </si>
  <si>
    <t>1552.3</t>
  </si>
  <si>
    <t>-0.19929</t>
  </si>
  <si>
    <t>449.25</t>
  </si>
  <si>
    <t>0.65677</t>
  </si>
  <si>
    <t>981.62</t>
  </si>
  <si>
    <t>0.0010187</t>
  </si>
  <si>
    <t>263.74</t>
  </si>
  <si>
    <t>263.85</t>
  </si>
  <si>
    <t>0.86890</t>
  </si>
  <si>
    <t>1552.6</t>
  </si>
  <si>
    <t>-0.19901</t>
  </si>
  <si>
    <t>445.96</t>
  </si>
  <si>
    <t>0.65722</t>
  </si>
  <si>
    <t>981.35</t>
  </si>
  <si>
    <t>0.0010190</t>
  </si>
  <si>
    <t>265.84</t>
  </si>
  <si>
    <t>265.94</t>
  </si>
  <si>
    <t>0.87512</t>
  </si>
  <si>
    <t>1552.8</t>
  </si>
  <si>
    <t>-0.19874</t>
  </si>
  <si>
    <t>442.71</t>
  </si>
  <si>
    <t>0.65768</t>
  </si>
  <si>
    <t>981.09</t>
  </si>
  <si>
    <t>0.0010193</t>
  </si>
  <si>
    <t>267.93</t>
  </si>
  <si>
    <t>268.03</t>
  </si>
  <si>
    <t>0.88133</t>
  </si>
  <si>
    <t>1553.0</t>
  </si>
  <si>
    <t>-0.19846</t>
  </si>
  <si>
    <t>439.50</t>
  </si>
  <si>
    <t>0.65813</t>
  </si>
  <si>
    <t>980.82</t>
  </si>
  <si>
    <t>0.0010196</t>
  </si>
  <si>
    <t>270.02</t>
  </si>
  <si>
    <t>270.13</t>
  </si>
  <si>
    <t>0.88754</t>
  </si>
  <si>
    <t>1553.2</t>
  </si>
  <si>
    <t>-0.19819</t>
  </si>
  <si>
    <t>436.33</t>
  </si>
  <si>
    <t>0.65857</t>
  </si>
  <si>
    <t>980.55</t>
  </si>
  <si>
    <t>0.0010198</t>
  </si>
  <si>
    <t>272.12</t>
  </si>
  <si>
    <t>272.22</t>
  </si>
  <si>
    <t>0.89373</t>
  </si>
  <si>
    <t>1553.4</t>
  </si>
  <si>
    <t>-0.19791</t>
  </si>
  <si>
    <t>433.20</t>
  </si>
  <si>
    <t>0.65901</t>
  </si>
  <si>
    <t>980.27</t>
  </si>
  <si>
    <t>0.0010201</t>
  </si>
  <si>
    <t>274.21</t>
  </si>
  <si>
    <t>274.31</t>
  </si>
  <si>
    <t>0.89992</t>
  </si>
  <si>
    <t>1553.6</t>
  </si>
  <si>
    <t>-0.19764</t>
  </si>
  <si>
    <t>430.10</t>
  </si>
  <si>
    <t>0.65944</t>
  </si>
  <si>
    <t>980.00</t>
  </si>
  <si>
    <t>0.0010204</t>
  </si>
  <si>
    <t>276.31</t>
  </si>
  <si>
    <t>276.41</t>
  </si>
  <si>
    <t>0.90610</t>
  </si>
  <si>
    <t>1553.8</t>
  </si>
  <si>
    <t>-0.19736</t>
  </si>
  <si>
    <t>427.04</t>
  </si>
  <si>
    <t>0.65987</t>
  </si>
  <si>
    <t>979.72</t>
  </si>
  <si>
    <t>0.0010207</t>
  </si>
  <si>
    <t>278.40</t>
  </si>
  <si>
    <t>278.50</t>
  </si>
  <si>
    <t>0.91227</t>
  </si>
  <si>
    <t>1553.9</t>
  </si>
  <si>
    <t>-0.19709</t>
  </si>
  <si>
    <t>424.02</t>
  </si>
  <si>
    <t>0.66030</t>
  </si>
  <si>
    <t>979.45</t>
  </si>
  <si>
    <t>0.0010210</t>
  </si>
  <si>
    <t>280.49</t>
  </si>
  <si>
    <t>280.60</t>
  </si>
  <si>
    <t>0.91843</t>
  </si>
  <si>
    <t>1554.1</t>
  </si>
  <si>
    <t>-0.19682</t>
  </si>
  <si>
    <t>421.04</t>
  </si>
  <si>
    <t>0.66072</t>
  </si>
  <si>
    <t>979.17</t>
  </si>
  <si>
    <t>0.0010213</t>
  </si>
  <si>
    <t>282.59</t>
  </si>
  <si>
    <t>282.69</t>
  </si>
  <si>
    <t>0.92458</t>
  </si>
  <si>
    <t>1554.2</t>
  </si>
  <si>
    <t>-0.19654</t>
  </si>
  <si>
    <t>418.08</t>
  </si>
  <si>
    <t>0.66113</t>
  </si>
  <si>
    <t>978.89</t>
  </si>
  <si>
    <t>0.0010216</t>
  </si>
  <si>
    <t>284.68</t>
  </si>
  <si>
    <t>284.79</t>
  </si>
  <si>
    <t>0.93072</t>
  </si>
  <si>
    <t>1554.3</t>
  </si>
  <si>
    <t>-0.19627</t>
  </si>
  <si>
    <t>415.17</t>
  </si>
  <si>
    <t>0.66154</t>
  </si>
  <si>
    <t>978.61</t>
  </si>
  <si>
    <t>0.0010219</t>
  </si>
  <si>
    <t>286.78</t>
  </si>
  <si>
    <t>286.88</t>
  </si>
  <si>
    <t>0.93686</t>
  </si>
  <si>
    <t>1554.5</t>
  </si>
  <si>
    <t>-0.19599</t>
  </si>
  <si>
    <t>412.28</t>
  </si>
  <si>
    <t>0.66195</t>
  </si>
  <si>
    <t>978.33</t>
  </si>
  <si>
    <t>0.0010222</t>
  </si>
  <si>
    <t>288.87</t>
  </si>
  <si>
    <t>288.97</t>
  </si>
  <si>
    <t>0.94299</t>
  </si>
  <si>
    <t>1554.6</t>
  </si>
  <si>
    <t>-0.19572</t>
  </si>
  <si>
    <t>409.44</t>
  </si>
  <si>
    <t>0.66235</t>
  </si>
  <si>
    <t>978.04</t>
  </si>
  <si>
    <t>0.0010224</t>
  </si>
  <si>
    <t>290.97</t>
  </si>
  <si>
    <t>291.07</t>
  </si>
  <si>
    <t>0.94910</t>
  </si>
  <si>
    <t>1554.7</t>
  </si>
  <si>
    <t>-0.19544</t>
  </si>
  <si>
    <t>406.62</t>
  </si>
  <si>
    <t>0.66274</t>
  </si>
  <si>
    <t>977.76</t>
  </si>
  <si>
    <t>0.0010227</t>
  </si>
  <si>
    <t>293.06</t>
  </si>
  <si>
    <t>293.16</t>
  </si>
  <si>
    <t>0.95521</t>
  </si>
  <si>
    <t>-0.19517</t>
  </si>
  <si>
    <t>403.84</t>
  </si>
  <si>
    <t>0.66313</t>
  </si>
  <si>
    <t>977.47</t>
  </si>
  <si>
    <t>0.0010230</t>
  </si>
  <si>
    <t>295.16</t>
  </si>
  <si>
    <t>295.26</t>
  </si>
  <si>
    <t>0.96131</t>
  </si>
  <si>
    <t>1554.8</t>
  </si>
  <si>
    <t>-0.19490</t>
  </si>
  <si>
    <t>401.09</t>
  </si>
  <si>
    <t>0.66352</t>
  </si>
  <si>
    <t>977.19</t>
  </si>
  <si>
    <t>0.0010233</t>
  </si>
  <si>
    <t>297.25</t>
  </si>
  <si>
    <t>297.35</t>
  </si>
  <si>
    <t>0.96741</t>
  </si>
  <si>
    <t>1554.9</t>
  </si>
  <si>
    <t>-0.19462</t>
  </si>
  <si>
    <t>398.37</t>
  </si>
  <si>
    <t>0.66390</t>
  </si>
  <si>
    <t>976.90</t>
  </si>
  <si>
    <t>0.0010237</t>
  </si>
  <si>
    <t>299.35</t>
  </si>
  <si>
    <t>299.45</t>
  </si>
  <si>
    <t>0.97349</t>
  </si>
  <si>
    <t>-0.19435</t>
  </si>
  <si>
    <t>395.68</t>
  </si>
  <si>
    <t>0.66428</t>
  </si>
  <si>
    <t>976.61</t>
  </si>
  <si>
    <t>0.0010240</t>
  </si>
  <si>
    <t>301.44</t>
  </si>
  <si>
    <t>301.55</t>
  </si>
  <si>
    <t>0.97957</t>
  </si>
  <si>
    <t>1555.0</t>
  </si>
  <si>
    <t>-0.19407</t>
  </si>
  <si>
    <t>393.02</t>
  </si>
  <si>
    <t>0.66465</t>
  </si>
  <si>
    <t>976.31</t>
  </si>
  <si>
    <t>0.0010243</t>
  </si>
  <si>
    <t>303.54</t>
  </si>
  <si>
    <t>303.64</t>
  </si>
  <si>
    <t>0.98563</t>
  </si>
  <si>
    <t>-0.19380</t>
  </si>
  <si>
    <t>390.39</t>
  </si>
  <si>
    <t>0.66502</t>
  </si>
  <si>
    <t>976.02</t>
  </si>
  <si>
    <t>0.0010246</t>
  </si>
  <si>
    <t>305.63</t>
  </si>
  <si>
    <t>305.74</t>
  </si>
  <si>
    <t>0.99169</t>
  </si>
  <si>
    <t>1555.1</t>
  </si>
  <si>
    <t>-0.19352</t>
  </si>
  <si>
    <t>387.79</t>
  </si>
  <si>
    <t>0.66539</t>
  </si>
  <si>
    <t>975.73</t>
  </si>
  <si>
    <t>0.0010249</t>
  </si>
  <si>
    <t>307.73</t>
  </si>
  <si>
    <t>307.83</t>
  </si>
  <si>
    <t>0.99774</t>
  </si>
  <si>
    <t>-0.19325</t>
  </si>
  <si>
    <t>385.23</t>
  </si>
  <si>
    <t>0.66574</t>
  </si>
  <si>
    <t>975.43</t>
  </si>
  <si>
    <t>0.0010252</t>
  </si>
  <si>
    <t>309.83</t>
  </si>
  <si>
    <t>309.93</t>
  </si>
  <si>
    <t>-0.19297</t>
  </si>
  <si>
    <t>382.69</t>
  </si>
  <si>
    <t>0.66610</t>
  </si>
  <si>
    <t>975.14</t>
  </si>
  <si>
    <t>0.0010255</t>
  </si>
  <si>
    <t>311.92</t>
  </si>
  <si>
    <t>312.03</t>
  </si>
  <si>
    <t>-0.19270</t>
  </si>
  <si>
    <t>380.17</t>
  </si>
  <si>
    <t>0.66645</t>
  </si>
  <si>
    <t>974.84</t>
  </si>
  <si>
    <t>0.0010258</t>
  </si>
  <si>
    <t>314.02</t>
  </si>
  <si>
    <t>314.12</t>
  </si>
  <si>
    <t>-0.19242</t>
  </si>
  <si>
    <t>377.69</t>
  </si>
  <si>
    <t>0.66680</t>
  </si>
  <si>
    <t>974.54</t>
  </si>
  <si>
    <t>0.0010261</t>
  </si>
  <si>
    <t>316.12</t>
  </si>
  <si>
    <t>316.22</t>
  </si>
  <si>
    <t>-0.19215</t>
  </si>
  <si>
    <t>375.23</t>
  </si>
  <si>
    <t>0.66714</t>
  </si>
  <si>
    <t>974.24</t>
  </si>
  <si>
    <t>0.0010264</t>
  </si>
  <si>
    <t>318.21</t>
  </si>
  <si>
    <t>318.32</t>
  </si>
  <si>
    <t>-0.19187</t>
  </si>
  <si>
    <t>372.80</t>
  </si>
  <si>
    <t>0.66747</t>
  </si>
  <si>
    <t>973.93</t>
  </si>
  <si>
    <t>0.0010268</t>
  </si>
  <si>
    <t>320.31</t>
  </si>
  <si>
    <t>320.41</t>
  </si>
  <si>
    <t>-0.19159</t>
  </si>
  <si>
    <t>370.40</t>
  </si>
  <si>
    <t>0.66781</t>
  </si>
  <si>
    <t>973.63</t>
  </si>
  <si>
    <t>0.0010271</t>
  </si>
  <si>
    <t>322.41</t>
  </si>
  <si>
    <t>322.51</t>
  </si>
  <si>
    <t>-0.19132</t>
  </si>
  <si>
    <t>368.03</t>
  </si>
  <si>
    <t>0.66814</t>
  </si>
  <si>
    <t>973.33</t>
  </si>
  <si>
    <t>0.0010274</t>
  </si>
  <si>
    <t>324.50</t>
  </si>
  <si>
    <t>324.61</t>
  </si>
  <si>
    <t>-0.19104</t>
  </si>
  <si>
    <t>365.68</t>
  </si>
  <si>
    <t>0.66846</t>
  </si>
  <si>
    <t>973.02</t>
  </si>
  <si>
    <t>0.0010277</t>
  </si>
  <si>
    <t>326.60</t>
  </si>
  <si>
    <t>326.71</t>
  </si>
  <si>
    <t>-0.19076</t>
  </si>
  <si>
    <t>363.35</t>
  </si>
  <si>
    <t>0.66878</t>
  </si>
  <si>
    <t>972.71</t>
  </si>
  <si>
    <t>0.0010281</t>
  </si>
  <si>
    <t>328.70</t>
  </si>
  <si>
    <t>328.80</t>
  </si>
  <si>
    <t>-0.19049</t>
  </si>
  <si>
    <t>361.05</t>
  </si>
  <si>
    <t>0.66910</t>
  </si>
  <si>
    <t>972.40</t>
  </si>
  <si>
    <t>0.0010284</t>
  </si>
  <si>
    <t>330.80</t>
  </si>
  <si>
    <t>330.90</t>
  </si>
  <si>
    <t>-0.19021</t>
  </si>
  <si>
    <t>358.78</t>
  </si>
  <si>
    <t>0.66941</t>
  </si>
  <si>
    <t>972.10</t>
  </si>
  <si>
    <t>0.0010287</t>
  </si>
  <si>
    <t>332.89</t>
  </si>
  <si>
    <t>333.00</t>
  </si>
  <si>
    <t>-0.18993</t>
  </si>
  <si>
    <t>356.53</t>
  </si>
  <si>
    <t>0.66972</t>
  </si>
  <si>
    <t>971.78</t>
  </si>
  <si>
    <t>0.0010290</t>
  </si>
  <si>
    <t>334.99</t>
  </si>
  <si>
    <t>335.10</t>
  </si>
  <si>
    <t>1554.4</t>
  </si>
  <si>
    <t>-0.18965</t>
  </si>
  <si>
    <t>354.30</t>
  </si>
  <si>
    <t>0.67002</t>
  </si>
  <si>
    <t>971.47</t>
  </si>
  <si>
    <t>0.0010294</t>
  </si>
  <si>
    <t>337.09</t>
  </si>
  <si>
    <t>337.20</t>
  </si>
  <si>
    <t>-0.18938</t>
  </si>
  <si>
    <t>352.10</t>
  </si>
  <si>
    <t>0.67032</t>
  </si>
  <si>
    <t>971.16</t>
  </si>
  <si>
    <t>0.0010297</t>
  </si>
  <si>
    <t>339.19</t>
  </si>
  <si>
    <t>339.29</t>
  </si>
  <si>
    <t>-0.18910</t>
  </si>
  <si>
    <t>349.92</t>
  </si>
  <si>
    <t>0.67062</t>
  </si>
  <si>
    <t>970.84</t>
  </si>
  <si>
    <t>0.0010300</t>
  </si>
  <si>
    <t>341.29</t>
  </si>
  <si>
    <t>341.39</t>
  </si>
  <si>
    <t>-0.18882</t>
  </si>
  <si>
    <t>347.77</t>
  </si>
  <si>
    <t>0.67091</t>
  </si>
  <si>
    <t>970.53</t>
  </si>
  <si>
    <t>0.0010304</t>
  </si>
  <si>
    <t>343.39</t>
  </si>
  <si>
    <t>343.49</t>
  </si>
  <si>
    <t>-0.18854</t>
  </si>
  <si>
    <t>345.64</t>
  </si>
  <si>
    <t>0.67120</t>
  </si>
  <si>
    <t>970.21</t>
  </si>
  <si>
    <t>0.0010307</t>
  </si>
  <si>
    <t>345.49</t>
  </si>
  <si>
    <t>345.59</t>
  </si>
  <si>
    <t>-0.18826</t>
  </si>
  <si>
    <t>343.53</t>
  </si>
  <si>
    <t>0.67148</t>
  </si>
  <si>
    <t>969.89</t>
  </si>
  <si>
    <t>0.0010310</t>
  </si>
  <si>
    <t>347.59</t>
  </si>
  <si>
    <t>347.69</t>
  </si>
  <si>
    <t>-0.18798</t>
  </si>
  <si>
    <t>341.44</t>
  </si>
  <si>
    <t>0.67176</t>
  </si>
  <si>
    <t>969.57</t>
  </si>
  <si>
    <t>0.0010314</t>
  </si>
  <si>
    <t>349.69</t>
  </si>
  <si>
    <t>349.79</t>
  </si>
  <si>
    <t>-0.18770</t>
  </si>
  <si>
    <t>339.37</t>
  </si>
  <si>
    <t>0.67203</t>
  </si>
  <si>
    <t>969.25</t>
  </si>
  <si>
    <t>0.0010317</t>
  </si>
  <si>
    <t>351.79</t>
  </si>
  <si>
    <t>351.89</t>
  </si>
  <si>
    <t>1553.3</t>
  </si>
  <si>
    <t>-0.18742</t>
  </si>
  <si>
    <t>337.33</t>
  </si>
  <si>
    <t>0.67231</t>
  </si>
  <si>
    <t>968.93</t>
  </si>
  <si>
    <t>0.0010321</t>
  </si>
  <si>
    <t>353.89</t>
  </si>
  <si>
    <t>353.99</t>
  </si>
  <si>
    <t>1553.1</t>
  </si>
  <si>
    <t>-0.18714</t>
  </si>
  <si>
    <t>335.30</t>
  </si>
  <si>
    <t>0.67257</t>
  </si>
  <si>
    <t>968.60</t>
  </si>
  <si>
    <t>0.0010324</t>
  </si>
  <si>
    <t>355.99</t>
  </si>
  <si>
    <t>356.09</t>
  </si>
  <si>
    <t>1552.9</t>
  </si>
  <si>
    <t>-0.18686</t>
  </si>
  <si>
    <t>333.30</t>
  </si>
  <si>
    <t>0.67284</t>
  </si>
  <si>
    <t>968.28</t>
  </si>
  <si>
    <t>0.0010328</t>
  </si>
  <si>
    <t>358.09</t>
  </si>
  <si>
    <t>358.19</t>
  </si>
  <si>
    <t>1552.7</t>
  </si>
  <si>
    <t>-0.18658</t>
  </si>
  <si>
    <t>331.32</t>
  </si>
  <si>
    <t>0.67310</t>
  </si>
  <si>
    <t>967.95</t>
  </si>
  <si>
    <t>0.0010331</t>
  </si>
  <si>
    <t>360.19</t>
  </si>
  <si>
    <t>360.29</t>
  </si>
  <si>
    <t>1552.5</t>
  </si>
  <si>
    <t>-0.18629</t>
  </si>
  <si>
    <t>329.36</t>
  </si>
  <si>
    <t>0.67335</t>
  </si>
  <si>
    <t>967.63</t>
  </si>
  <si>
    <t>0.0010335</t>
  </si>
  <si>
    <t>362.29</t>
  </si>
  <si>
    <t>362.39</t>
  </si>
  <si>
    <t>1552.2</t>
  </si>
  <si>
    <t>-0.18601</t>
  </si>
  <si>
    <t>327.42</t>
  </si>
  <si>
    <t>0.67361</t>
  </si>
  <si>
    <t>967.30</t>
  </si>
  <si>
    <t>0.0010338</t>
  </si>
  <si>
    <t>364.39</t>
  </si>
  <si>
    <t>364.49</t>
  </si>
  <si>
    <t>1552.0</t>
  </si>
  <si>
    <t>-0.18573</t>
  </si>
  <si>
    <t>325.50</t>
  </si>
  <si>
    <t>0.67386</t>
  </si>
  <si>
    <t>966.97</t>
  </si>
  <si>
    <t>0.0010342</t>
  </si>
  <si>
    <t>366.49</t>
  </si>
  <si>
    <t>366.60</t>
  </si>
  <si>
    <t>-0.18545</t>
  </si>
  <si>
    <t>323.60</t>
  </si>
  <si>
    <t>0.67410</t>
  </si>
  <si>
    <t>966.64</t>
  </si>
  <si>
    <t>0.0010345</t>
  </si>
  <si>
    <t>368.59</t>
  </si>
  <si>
    <t>368.70</t>
  </si>
  <si>
    <t>1551.5</t>
  </si>
  <si>
    <t>-0.18516</t>
  </si>
  <si>
    <t>321.71</t>
  </si>
  <si>
    <t>0.67434</t>
  </si>
  <si>
    <t>966.31</t>
  </si>
  <si>
    <t>0.0010349</t>
  </si>
  <si>
    <t>370.69</t>
  </si>
  <si>
    <t>370.80</t>
  </si>
  <si>
    <t>-0.18488</t>
  </si>
  <si>
    <t>319.85</t>
  </si>
  <si>
    <t>0.67458</t>
  </si>
  <si>
    <t>965.97</t>
  </si>
  <si>
    <t>0.0010352</t>
  </si>
  <si>
    <t>372.90</t>
  </si>
  <si>
    <t>-0.18459</t>
  </si>
  <si>
    <t>318.01</t>
  </si>
  <si>
    <t>0.67481</t>
  </si>
  <si>
    <t>965.64</t>
  </si>
  <si>
    <t>0.0010356</t>
  </si>
  <si>
    <t>374.90</t>
  </si>
  <si>
    <t>375.00</t>
  </si>
  <si>
    <t>-0.18431</t>
  </si>
  <si>
    <t>316.18</t>
  </si>
  <si>
    <t>0.67505</t>
  </si>
  <si>
    <t>965.30</t>
  </si>
  <si>
    <t>0.0010359</t>
  </si>
  <si>
    <t>377.00</t>
  </si>
  <si>
    <t>377.11</t>
  </si>
  <si>
    <t>-0.18402</t>
  </si>
  <si>
    <t>314.37</t>
  </si>
  <si>
    <t>0.67527</t>
  </si>
  <si>
    <t>964.97</t>
  </si>
  <si>
    <t>0.0010363</t>
  </si>
  <si>
    <t>379.10</t>
  </si>
  <si>
    <t>379.21</t>
  </si>
  <si>
    <t>1550.2</t>
  </si>
  <si>
    <t>-0.18373</t>
  </si>
  <si>
    <t>312.58</t>
  </si>
  <si>
    <t>0.67550</t>
  </si>
  <si>
    <t>964.63</t>
  </si>
  <si>
    <t>0.0010367</t>
  </si>
  <si>
    <t>381.21</t>
  </si>
  <si>
    <t>381.31</t>
  </si>
  <si>
    <t>1549.9</t>
  </si>
  <si>
    <t>-0.18345</t>
  </si>
  <si>
    <t>310.81</t>
  </si>
  <si>
    <t>0.67572</t>
  </si>
  <si>
    <t>964.29</t>
  </si>
  <si>
    <t>0.0010370</t>
  </si>
  <si>
    <t>383.31</t>
  </si>
  <si>
    <t>383.41</t>
  </si>
  <si>
    <t>1549.6</t>
  </si>
  <si>
    <t>-0.18316</t>
  </si>
  <si>
    <t>309.06</t>
  </si>
  <si>
    <t>0.67593</t>
  </si>
  <si>
    <t>963.95</t>
  </si>
  <si>
    <t>0.0010374</t>
  </si>
  <si>
    <t>385.41</t>
  </si>
  <si>
    <t>385.52</t>
  </si>
  <si>
    <t>1549.2</t>
  </si>
  <si>
    <t>-0.18287</t>
  </si>
  <si>
    <t>307.32</t>
  </si>
  <si>
    <t>0.67615</t>
  </si>
  <si>
    <t>963.61</t>
  </si>
  <si>
    <t>0.0010378</t>
  </si>
  <si>
    <t>387.52</t>
  </si>
  <si>
    <t>387.62</t>
  </si>
  <si>
    <t>1548.9</t>
  </si>
  <si>
    <t>-0.18258</t>
  </si>
  <si>
    <t>305.60</t>
  </si>
  <si>
    <t>0.67635</t>
  </si>
  <si>
    <t>963.26</t>
  </si>
  <si>
    <t>0.0010381</t>
  </si>
  <si>
    <t>389.62</t>
  </si>
  <si>
    <t>389.73</t>
  </si>
  <si>
    <t>-0.18230</t>
  </si>
  <si>
    <t>303.90</t>
  </si>
  <si>
    <t>0.67656</t>
  </si>
  <si>
    <t>962.92</t>
  </si>
  <si>
    <t>0.0010385</t>
  </si>
  <si>
    <t>391.72</t>
  </si>
  <si>
    <t>391.83</t>
  </si>
  <si>
    <t>1548.3</t>
  </si>
  <si>
    <t>-0.18201</t>
  </si>
  <si>
    <t>302.21</t>
  </si>
  <si>
    <t>0.67676</t>
  </si>
  <si>
    <t>962.57</t>
  </si>
  <si>
    <t>0.0010389</t>
  </si>
  <si>
    <t>393.83</t>
  </si>
  <si>
    <t>393.93</t>
  </si>
  <si>
    <t>1547.9</t>
  </si>
  <si>
    <t>-0.18172</t>
  </si>
  <si>
    <t>300.54</t>
  </si>
  <si>
    <t>0.67696</t>
  </si>
  <si>
    <t>962.23</t>
  </si>
  <si>
    <t>0.0010393</t>
  </si>
  <si>
    <t>395.93</t>
  </si>
  <si>
    <t>396.04</t>
  </si>
  <si>
    <t>1547.6</t>
  </si>
  <si>
    <t>-0.18142</t>
  </si>
  <si>
    <t>298.89</t>
  </si>
  <si>
    <t>0.67716</t>
  </si>
  <si>
    <t>961.88</t>
  </si>
  <si>
    <t>0.0010396</t>
  </si>
  <si>
    <t>398.04</t>
  </si>
  <si>
    <t>398.14</t>
  </si>
  <si>
    <t>1547.2</t>
  </si>
  <si>
    <t>-0.18113</t>
  </si>
  <si>
    <t>0.67735</t>
  </si>
  <si>
    <t>961.53</t>
  </si>
  <si>
    <t>0.0010400</t>
  </si>
  <si>
    <t>400.14</t>
  </si>
  <si>
    <t>400.25</t>
  </si>
  <si>
    <t>1546.8</t>
  </si>
  <si>
    <t>-0.18084</t>
  </si>
  <si>
    <t>295.63</t>
  </si>
  <si>
    <t>0.67754</t>
  </si>
  <si>
    <t>961.18</t>
  </si>
  <si>
    <t>0.0010404</t>
  </si>
  <si>
    <t>402.25</t>
  </si>
  <si>
    <t>402.35</t>
  </si>
  <si>
    <t>1546.4</t>
  </si>
  <si>
    <t>-0.18055</t>
  </si>
  <si>
    <t>294.02</t>
  </si>
  <si>
    <t>0.67773</t>
  </si>
  <si>
    <t>960.83</t>
  </si>
  <si>
    <t>0.0010408</t>
  </si>
  <si>
    <t>404.35</t>
  </si>
  <si>
    <t>404.46</t>
  </si>
  <si>
    <t>-0.18026</t>
  </si>
  <si>
    <t>292.43</t>
  </si>
  <si>
    <t>0.67791</t>
  </si>
  <si>
    <t>960.48</t>
  </si>
  <si>
    <t>0.0010411</t>
  </si>
  <si>
    <t>406.46</t>
  </si>
  <si>
    <t>406.57</t>
  </si>
  <si>
    <t>1545.7</t>
  </si>
  <si>
    <t>-0.17996</t>
  </si>
  <si>
    <t>290.86</t>
  </si>
  <si>
    <t>0.67809</t>
  </si>
  <si>
    <t>960.13</t>
  </si>
  <si>
    <t>0.0010415</t>
  </si>
  <si>
    <t>408.57</t>
  </si>
  <si>
    <t>408.67</t>
  </si>
  <si>
    <t>1545.3</t>
  </si>
  <si>
    <t>-0.17967</t>
  </si>
  <si>
    <t>289.30</t>
  </si>
  <si>
    <t>0.67826</t>
  </si>
  <si>
    <t>959.77</t>
  </si>
  <si>
    <t>0.0010419</t>
  </si>
  <si>
    <t>410.67</t>
  </si>
  <si>
    <t>410.78</t>
  </si>
  <si>
    <t>1544.9</t>
  </si>
  <si>
    <t>-0.17937</t>
  </si>
  <si>
    <t>287.75</t>
  </si>
  <si>
    <t>0.67844</t>
  </si>
  <si>
    <t>959.42</t>
  </si>
  <si>
    <t>0.0010423</t>
  </si>
  <si>
    <t>412.78</t>
  </si>
  <si>
    <t>412.89</t>
  </si>
  <si>
    <t>1544.4</t>
  </si>
  <si>
    <t>-0.17908</t>
  </si>
  <si>
    <t>286.22</t>
  </si>
  <si>
    <t>0.67861</t>
  </si>
  <si>
    <t>959.06</t>
  </si>
  <si>
    <t>0.0010427</t>
  </si>
  <si>
    <t>414.89</t>
  </si>
  <si>
    <t>414.99</t>
  </si>
  <si>
    <t>1544.0</t>
  </si>
  <si>
    <t>-0.17878</t>
  </si>
  <si>
    <t>284.70</t>
  </si>
  <si>
    <t>0.67877</t>
  </si>
  <si>
    <t>958.70</t>
  </si>
  <si>
    <t>0.0010431</t>
  </si>
  <si>
    <t>416.99</t>
  </si>
  <si>
    <t>417.10</t>
  </si>
  <si>
    <t>1543.6</t>
  </si>
  <si>
    <t>-0.17848</t>
  </si>
  <si>
    <t>283.20</t>
  </si>
  <si>
    <t>0.67894</t>
  </si>
  <si>
    <t>0.10133</t>
  </si>
  <si>
    <t>958.37</t>
  </si>
  <si>
    <t>0.0010434</t>
  </si>
  <si>
    <t>418.95</t>
  </si>
  <si>
    <t>419.06</t>
  </si>
  <si>
    <t>1543.2</t>
  </si>
  <si>
    <t>-0.17821</t>
  </si>
  <si>
    <t>281.82</t>
  </si>
  <si>
    <t>0.67908</t>
  </si>
  <si>
    <t>0.59766</t>
  </si>
  <si>
    <t>2506.0</t>
  </si>
  <si>
    <t>2675.5</t>
  </si>
  <si>
    <t>472.18</t>
  </si>
  <si>
    <t>0.025093</t>
  </si>
  <si>
    <t>vapor</t>
  </si>
  <si>
    <t>100.01</t>
  </si>
  <si>
    <t>2675.6</t>
  </si>
  <si>
    <t>472.21</t>
  </si>
  <si>
    <t>0.025096</t>
  </si>
  <si>
    <t>https://webbook.nist.gov/chemistry/fluid/</t>
  </si>
  <si>
    <t>https://theengineeringmindset.com/properties-of-air-at-atmospheric-pressure/</t>
  </si>
  <si>
    <t>https://www.engineeringtoolbox.com/air-density-specific-weight-d_600.html</t>
  </si>
  <si>
    <t>t</t>
  </si>
  <si>
    <t>t1</t>
  </si>
  <si>
    <t>rho1</t>
  </si>
  <si>
    <t>t2</t>
  </si>
  <si>
    <t>rho2</t>
  </si>
  <si>
    <t>rho</t>
  </si>
  <si>
    <t>Interpolation Luft</t>
  </si>
  <si>
    <t>Interpolation Wasser</t>
  </si>
  <si>
    <t>Wasser (PW)</t>
  </si>
  <si>
    <t>Wasser (WWB)</t>
  </si>
  <si>
    <t>Interpolation Wasser (PW)</t>
  </si>
  <si>
    <t>Interpolation Wasser (WWB)</t>
  </si>
  <si>
    <t>Luftgeschwindigkeit (wenn kein Wert, Annahme mit 6 m/s)</t>
  </si>
  <si>
    <t>pauschal mit Wirkungsgrad = 65%</t>
  </si>
  <si>
    <t>wirtschaftlich vertretbares Investvolumen</t>
  </si>
  <si>
    <t xml:space="preserve"> </t>
  </si>
  <si>
    <t xml:space="preserve">Bitte tragen Sie die Ergebnisse Ihres Rundganges aus der Checkliste 1 hier ein. </t>
  </si>
  <si>
    <r>
      <t xml:space="preserve">
Sollten Sie </t>
    </r>
    <r>
      <rPr>
        <b/>
        <sz val="11"/>
        <color theme="1"/>
        <rFont val="Calibri"/>
        <family val="2"/>
        <scheme val="minor"/>
      </rPr>
      <t>mehrere Anlagen mit demselben Abwärme-Temperaturniveau</t>
    </r>
    <r>
      <rPr>
        <sz val="11"/>
        <color theme="1"/>
        <rFont val="Calibri"/>
        <family val="2"/>
        <scheme val="minor"/>
      </rPr>
      <t xml:space="preserve"> gefunden haben, deren Betriebszeiten auch annähernd gleich sind, dann addieren Sie bitte die elektrischen Leistungen bzw. die Massen-/Volumenströme der Anlagen und tragen Sie nur die Summe in die jeweiligen Eingabefelder ein.</t>
    </r>
  </si>
  <si>
    <r>
      <t xml:space="preserve">Falls Sie </t>
    </r>
    <r>
      <rPr>
        <b/>
        <sz val="11"/>
        <color theme="1"/>
        <rFont val="Calibri"/>
        <family val="2"/>
        <scheme val="minor"/>
      </rPr>
      <t>mehrere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Abwärmequellen mit verschiedenen Temperaturniveaus</t>
    </r>
    <r>
      <rPr>
        <sz val="11"/>
        <color theme="1"/>
        <rFont val="Calibri"/>
        <family val="2"/>
        <scheme val="minor"/>
      </rPr>
      <t xml:space="preserve"> gefunden haben, erstellen Sie bitte als erstes für jedes Temperaturniveau eine Kopie dieses Tabellenblattes. </t>
    </r>
  </si>
  <si>
    <t>Temperatur des Abwärmemediums (°C)</t>
  </si>
  <si>
    <t xml:space="preserve">Mittlere Anlagenleistung im Teillastbetrieb </t>
  </si>
  <si>
    <t xml:space="preserve">Geschätzter Anteil der gesamten Betriebszeit im Teillastbereich </t>
  </si>
  <si>
    <t xml:space="preserve"> Details zu gekühlten Anlagen:</t>
  </si>
  <si>
    <t>Wenn die folgenden Felder ausgefüllt sind, werden diese Angaben prioritär verwendet!</t>
  </si>
  <si>
    <t>ERGEBNIS – In Ihrem Unternehmen gibt es Abwärme in folgender Höhe:</t>
  </si>
  <si>
    <t>Endergebnisse</t>
  </si>
  <si>
    <r>
      <rPr>
        <b/>
        <sz val="11"/>
        <color theme="1"/>
        <rFont val="Calibri"/>
        <family val="2"/>
        <scheme val="minor"/>
      </rPr>
      <t>Euro</t>
    </r>
    <r>
      <rPr>
        <sz val="11"/>
        <color theme="0" tint="-0.499984740745262"/>
        <rFont val="Calibri"/>
        <family val="2"/>
        <scheme val="minor"/>
      </rPr>
      <t/>
    </r>
  </si>
  <si>
    <t>Nun stellt sich die Frage:</t>
  </si>
  <si>
    <t>Kann die Abwärme auch tatsächlich bei Ihnen genutzt werden?</t>
  </si>
  <si>
    <t>Sie können in einem zweiten Schritt nach einer geeigneten Anwendung für das Abwärmepotenzial suchen. Dazu gehen Sie bitte auf das nächste Tabellenblatt "Abwärme vermeiden".</t>
  </si>
  <si>
    <t>Anlagenbezeichnung:</t>
  </si>
  <si>
    <t xml:space="preserve">   </t>
  </si>
  <si>
    <t xml:space="preserve">      </t>
  </si>
  <si>
    <r>
      <rPr>
        <b/>
        <sz val="11"/>
        <color theme="1"/>
        <rFont val="Calibri"/>
        <family val="2"/>
        <scheme val="minor"/>
      </rPr>
      <t>ALTERNATIV</t>
    </r>
    <r>
      <rPr>
        <sz val="11"/>
        <color theme="1"/>
        <rFont val="Calibri"/>
        <family val="2"/>
        <scheme val="minor"/>
      </rPr>
      <t xml:space="preserve"> geben Sie hier die Betriebzeiten ein:</t>
    </r>
  </si>
  <si>
    <t>Errechnetes Zwischenergebnis zu Betriebstunden/Jahr:</t>
  </si>
  <si>
    <t>Errechnetes Zwischenergebnis zur Last:</t>
  </si>
  <si>
    <t>wirtschaftlich vertretbares Investvolumen (exkl. jährliche Betriebskosten)</t>
  </si>
  <si>
    <t>berechnete Werte/Zwischenergebnis</t>
  </si>
  <si>
    <t>DICHTE</t>
  </si>
  <si>
    <t>LUFT</t>
  </si>
  <si>
    <t>logarithmisches Mittel</t>
  </si>
  <si>
    <t xml:space="preserve">Könnte die Abwärme auch vermieden werden? </t>
  </si>
  <si>
    <t>Hinweise und Ideen dazu bietet die SAENA-Broschüre.</t>
  </si>
  <si>
    <t xml:space="preserve">Häufig ist es wirtschaftlicher, Abwärme zu vermeiden als sie nutzbar zu machen! </t>
  </si>
  <si>
    <t>Sie können die Wirtschaftlichkeit hier abschätzen:</t>
  </si>
  <si>
    <t>Bitte tragen Sie hier die Ergebnisse ein!</t>
  </si>
  <si>
    <r>
      <t xml:space="preserve">Natürlich müssen Sie </t>
    </r>
    <r>
      <rPr>
        <u/>
        <sz val="11"/>
        <color theme="1"/>
        <rFont val="Calibri"/>
        <family val="2"/>
        <scheme val="minor"/>
      </rPr>
      <t>nicht sofort alle</t>
    </r>
    <r>
      <rPr>
        <sz val="11"/>
        <color theme="1"/>
        <rFont val="Calibri"/>
        <family val="2"/>
        <scheme val="minor"/>
      </rPr>
      <t xml:space="preserve"> gefundenen Informationen eintragen: Konzentrieren Sie sich zunächst auf die Wärmesenken, die ein </t>
    </r>
    <r>
      <rPr>
        <u/>
        <sz val="11"/>
        <color theme="1"/>
        <rFont val="Calibri"/>
        <family val="2"/>
        <scheme val="minor"/>
      </rPr>
      <t>geringeres Temperaturniveau</t>
    </r>
    <r>
      <rPr>
        <sz val="11"/>
        <color theme="1"/>
        <rFont val="Calibri"/>
        <family val="2"/>
        <scheme val="minor"/>
      </rPr>
      <t xml:space="preserve"> als die Abwärmequelle(n) haben!</t>
    </r>
  </si>
  <si>
    <r>
      <t xml:space="preserve">Außerdem sollten Sie zuerst die Wärmesenken betrachten, die </t>
    </r>
    <r>
      <rPr>
        <u/>
        <sz val="11"/>
        <color theme="1"/>
        <rFont val="Calibri"/>
        <family val="2"/>
        <scheme val="minor"/>
      </rPr>
      <t>in direktem Zusammenhang mit den Abwärmequellen</t>
    </r>
    <r>
      <rPr>
        <sz val="11"/>
        <color theme="1"/>
        <rFont val="Calibri"/>
        <family val="2"/>
        <scheme val="minor"/>
      </rPr>
      <t xml:space="preserve"> stehen (</t>
    </r>
    <r>
      <rPr>
        <i/>
        <sz val="11"/>
        <color theme="1"/>
        <rFont val="Calibri"/>
        <family val="2"/>
        <scheme val="minor"/>
      </rPr>
      <t>prozessinterne Nutzung der Abwärme</t>
    </r>
    <r>
      <rPr>
        <sz val="11"/>
        <color theme="1"/>
        <rFont val="Calibri"/>
        <family val="2"/>
        <scheme val="minor"/>
      </rPr>
      <t>).</t>
    </r>
  </si>
  <si>
    <r>
      <t xml:space="preserve">Sie haben bei einem </t>
    </r>
    <r>
      <rPr>
        <b/>
        <sz val="11"/>
        <color theme="1"/>
        <rFont val="Calibri"/>
        <family val="2"/>
        <scheme val="minor"/>
      </rPr>
      <t>zweiten Rundgang</t>
    </r>
    <r>
      <rPr>
        <sz val="11"/>
        <color theme="1"/>
        <rFont val="Calibri"/>
        <family val="2"/>
        <scheme val="minor"/>
      </rPr>
      <t xml:space="preserve"> durch Ihr Unternehmen die Orte der Wärmeerzeugung und des Wärmeverbrauchs identifiziert (Wärmesenken). </t>
    </r>
  </si>
  <si>
    <r>
      <t>Sie haben bei einem</t>
    </r>
    <r>
      <rPr>
        <b/>
        <sz val="11"/>
        <color theme="1"/>
        <rFont val="Calibri"/>
        <family val="2"/>
        <scheme val="minor"/>
      </rPr>
      <t xml:space="preserve"> ersten Rundgang</t>
    </r>
    <r>
      <rPr>
        <sz val="11"/>
        <color theme="1"/>
        <rFont val="Calibri"/>
        <family val="2"/>
        <scheme val="minor"/>
      </rPr>
      <t xml:space="preserve"> durch Ihr Unternehmen (und ggf. im Gespräch mit Ihren Kollegen) Abwärmequellen identifiziert. </t>
    </r>
  </si>
  <si>
    <t>Zwischenergebnis Betriebszeiten:</t>
  </si>
  <si>
    <t>Zwischenergebnis Lasten:</t>
  </si>
  <si>
    <t>Umrechner für den Wert "Massenstrom Prozesswasser":</t>
  </si>
  <si>
    <r>
      <t>Kanaldurchmesser</t>
    </r>
    <r>
      <rPr>
        <b/>
        <sz val="9"/>
        <rFont val="Calibri"/>
        <family val="2"/>
        <scheme val="minor"/>
      </rPr>
      <t xml:space="preserve"> (wenn H und B, dann freilassen)</t>
    </r>
  </si>
  <si>
    <r>
      <t>m³/h</t>
    </r>
    <r>
      <rPr>
        <sz val="8"/>
        <color rgb="FF43ACE0"/>
        <rFont val="Calibri"/>
        <family val="2"/>
        <scheme val="minor"/>
      </rPr>
      <t xml:space="preserve"> </t>
    </r>
  </si>
  <si>
    <t>Abschließend können Sie nun prüfen, welche der Wärmesenken gut zu einer der Wärmequellen passen könnte. Anleitung dazu finden Sie in der Broschüre.</t>
  </si>
  <si>
    <r>
      <t>Betriebsstunden pro Jahr</t>
    </r>
    <r>
      <rPr>
        <i/>
        <sz val="11"/>
        <color theme="0" tint="-0.499984740745262"/>
        <rFont val="Calibri"/>
        <family val="2"/>
        <scheme val="minor"/>
      </rPr>
      <t xml:space="preserve"> </t>
    </r>
  </si>
  <si>
    <t>(Wenn dieses Feld ausgefüllt ist, wird diese Angabe prioritär verwendet.)</t>
  </si>
  <si>
    <r>
      <t xml:space="preserve">ALTERNATIV tragen sie hier bitte die Leistung des Heizkessels ein! </t>
    </r>
    <r>
      <rPr>
        <b/>
        <sz val="11"/>
        <rFont val="Calibri"/>
        <family val="2"/>
        <scheme val="minor"/>
      </rPr>
      <t>(die obigen Eingabewerte müssen genullt werden)</t>
    </r>
  </si>
  <si>
    <r>
      <t xml:space="preserve">Als Ergebnis Ihrer Betrachtungen haben Sie nun eine </t>
    </r>
    <r>
      <rPr>
        <b/>
        <sz val="11"/>
        <rFont val="Calibri"/>
        <family val="2"/>
        <scheme val="minor"/>
      </rPr>
      <t>Kombination</t>
    </r>
    <r>
      <rPr>
        <sz val="11"/>
        <rFont val="Calibri"/>
        <family val="2"/>
        <scheme val="minor"/>
      </rPr>
      <t xml:space="preserve"> aus Abwärmequelle und dazu passender Wärmesenke gefunden. 
</t>
    </r>
  </si>
  <si>
    <t>Nutzungsgrad (Anteil Abwärme in Wärmesenke)</t>
  </si>
  <si>
    <t xml:space="preserve">% </t>
  </si>
  <si>
    <t xml:space="preserve">Sie können nun recherchieren, ob das Abwärmepotenzial mit dieser Investitionssumme nutzbar gemacht werden könnte. Dabei stehen Ihnen die SAENA beratend zur Verfügung. </t>
  </si>
  <si>
    <r>
      <rPr>
        <sz val="11"/>
        <color theme="1"/>
        <rFont val="Calibri"/>
        <family val="2"/>
        <scheme val="minor"/>
      </rPr>
      <t>°C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i/>
        <sz val="10"/>
        <color theme="0" tint="-0.499984740745262"/>
        <rFont val="Calibri"/>
        <family val="2"/>
        <scheme val="minor"/>
      </rPr>
      <t xml:space="preserve">(nur wichtig bei </t>
    </r>
    <r>
      <rPr>
        <b/>
        <i/>
        <u/>
        <sz val="12"/>
        <color theme="0" tint="-0.499984740745262"/>
        <rFont val="Calibri"/>
        <family val="2"/>
        <scheme val="minor"/>
      </rPr>
      <t>Luft</t>
    </r>
    <r>
      <rPr>
        <i/>
        <sz val="10"/>
        <color theme="0" tint="-0.499984740745262"/>
        <rFont val="Calibri"/>
        <family val="2"/>
        <scheme val="minor"/>
      </rPr>
      <t xml:space="preserve"> als Abwärmemedium)</t>
    </r>
  </si>
  <si>
    <t>Interne Verzinsung</t>
  </si>
  <si>
    <t>bei Wirkungsgrad = 90%</t>
  </si>
  <si>
    <r>
      <rPr>
        <b/>
        <i/>
        <sz val="11"/>
        <rFont val="Calibri"/>
        <family val="2"/>
        <scheme val="minor"/>
      </rPr>
      <t>HINWEIS:</t>
    </r>
    <r>
      <rPr>
        <i/>
        <sz val="11"/>
        <rFont val="Calibri"/>
        <family val="2"/>
        <scheme val="minor"/>
      </rPr>
      <t xml:space="preserve"> Die folgenden Angaben werden nur benötigt, wenn Sie das Feld "</t>
    </r>
    <r>
      <rPr>
        <b/>
        <i/>
        <u/>
        <sz val="14"/>
        <rFont val="Calibri"/>
        <family val="2"/>
        <scheme val="minor"/>
      </rPr>
      <t>Nennleistung Heizkessel</t>
    </r>
    <r>
      <rPr>
        <i/>
        <sz val="11"/>
        <rFont val="Calibri"/>
        <family val="2"/>
        <scheme val="minor"/>
      </rPr>
      <t>" ausgefüllt haben!</t>
    </r>
  </si>
  <si>
    <t>Textbausteine</t>
  </si>
  <si>
    <r>
      <rPr>
        <b/>
        <sz val="11"/>
        <color theme="1"/>
        <rFont val="Calibri"/>
        <family val="2"/>
        <scheme val="minor"/>
      </rPr>
      <t>ALTERNATIV</t>
    </r>
    <r>
      <rPr>
        <sz val="11"/>
        <color theme="1"/>
        <rFont val="Calibri"/>
        <family val="2"/>
        <scheme val="minor"/>
      </rPr>
      <t xml:space="preserve"> können Sie hier den Volumenstrom eingeben!</t>
    </r>
  </si>
  <si>
    <r>
      <t xml:space="preserve">Für eine wassergekühlte elektrische Anlage können Sie hier </t>
    </r>
    <r>
      <rPr>
        <b/>
        <sz val="11"/>
        <color theme="1"/>
        <rFont val="Calibri"/>
        <family val="2"/>
        <scheme val="minor"/>
      </rPr>
      <t>ALTERNATIV</t>
    </r>
    <r>
      <rPr>
        <sz val="11"/>
        <color theme="1"/>
        <rFont val="Calibri"/>
        <family val="2"/>
        <scheme val="minor"/>
      </rPr>
      <t xml:space="preserve"> die nutzbare Abwärmeleistung anhand der installierten elektrischen Leistung abschätzen:</t>
    </r>
  </si>
  <si>
    <t xml:space="preserve">nutzbare Abwärme beträgt schätzungsweise </t>
  </si>
  <si>
    <t>luftgekühlte Anlage v2</t>
  </si>
  <si>
    <t>Kreisförmig</t>
  </si>
  <si>
    <t>Rechteckförmig</t>
  </si>
  <si>
    <r>
      <t xml:space="preserve">Wärmegestehungskosten </t>
    </r>
    <r>
      <rPr>
        <sz val="10"/>
        <color theme="1"/>
        <rFont val="Calibri"/>
        <family val="2"/>
        <scheme val="minor"/>
      </rPr>
      <t>(z.B. Strom für Schmelzofen, an dem Abwärme in Form von Abluft entsteht)</t>
    </r>
  </si>
  <si>
    <r>
      <t xml:space="preserve">gefundene Abwärmequelle(n) </t>
    </r>
    <r>
      <rPr>
        <sz val="10"/>
        <color theme="1"/>
        <rFont val="Calibri"/>
        <family val="2"/>
        <scheme val="minor"/>
      </rPr>
      <t>(=Ergebnis aus dem Tabellenblatt "Abwärmequellen")</t>
    </r>
  </si>
  <si>
    <r>
      <t>Umrechner Energiepreis</t>
    </r>
    <r>
      <rPr>
        <b/>
        <sz val="9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(diese Angabe wird prioritär verwendet)</t>
    </r>
  </si>
  <si>
    <t>Trockner</t>
  </si>
  <si>
    <t>Trocknen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</si>
</sst>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0.0000"/>
    <numFmt numFmtId="166" formatCode="#,##0.0"/>
    <numFmt numFmtId="167" formatCode="0.0%"/>
    <numFmt numFmtId="168" formatCode="#,000\ &quot;h/a&quot;"/>
    <numFmt numFmtId="169" formatCode="#,000\ &quot;h/a Teillast&quot;"/>
    <numFmt numFmtId="170" formatCode="#,000\ &quot;h/a Volllast&quot;"/>
    <numFmt numFmtId="171" formatCode="0.00\ &quot;°C&quot;"/>
    <numFmt numFmtId="172" formatCode="#,##0.0000"/>
    <numFmt numFmtId="173" formatCode="#,##0.000"/>
    <numFmt numFmtId="174" formatCode="0.00\ &quot;mm&quot;"/>
    <numFmt numFmtId="175" formatCode="#,##0\ &quot;MWh/a&quot;"/>
  </numFmts>
  <fonts count="6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rgb="FFFF0000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8"/>
      <color rgb="FF51C0D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rgb="FF59595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D666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D6666"/>
      <name val="Calibri"/>
      <family val="2"/>
      <scheme val="minor"/>
    </font>
    <font>
      <sz val="11"/>
      <color rgb="FF0D6666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rgb="FF43ACE0"/>
      <name val="Calibri"/>
      <family val="2"/>
      <scheme val="minor"/>
    </font>
    <font>
      <i/>
      <sz val="10"/>
      <color rgb="FF80808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43ACE0"/>
      <name val="Calibri"/>
      <family val="2"/>
      <scheme val="minor"/>
    </font>
    <font>
      <sz val="8"/>
      <color rgb="FF43ACE0"/>
      <name val="Calibri"/>
      <family val="2"/>
      <scheme val="minor"/>
    </font>
    <font>
      <b/>
      <i/>
      <u/>
      <sz val="12"/>
      <color theme="0" tint="-0.499984740745262"/>
      <name val="Calibri"/>
      <family val="2"/>
      <scheme val="minor"/>
    </font>
    <font>
      <b/>
      <i/>
      <u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BC00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6E6F4"/>
        <bgColor indexed="64"/>
      </patternFill>
    </fill>
    <fill>
      <patternFill patternType="solid">
        <fgColor rgb="FFA3CC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6666"/>
        <bgColor indexed="64"/>
      </patternFill>
    </fill>
    <fill>
      <patternFill patternType="solid">
        <fgColor rgb="FF43ACE0"/>
        <bgColor indexed="64"/>
      </patternFill>
    </fill>
    <fill>
      <patternFill patternType="solid">
        <fgColor rgb="FFD5E498"/>
        <bgColor indexed="64"/>
      </patternFill>
    </fill>
    <fill>
      <patternFill patternType="solid">
        <fgColor rgb="FFA3CC3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auto="1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176">
    <xf numFmtId="0" fontId="0" fillId="0" borderId="0"/>
    <xf numFmtId="9" fontId="6" fillId="0" borderId="0" applyFont="0" applyFill="0" applyBorder="0" applyAlignment="0" applyProtection="0"/>
    <xf numFmtId="0" fontId="7" fillId="0" borderId="0"/>
    <xf numFmtId="9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522">
    <xf numFmtId="0" fontId="0" fillId="0" borderId="0" xfId="0"/>
    <xf numFmtId="0" fontId="0" fillId="0" borderId="0" xfId="0" applyAlignment="1"/>
    <xf numFmtId="0" fontId="5" fillId="0" borderId="0" xfId="0" applyFont="1"/>
    <xf numFmtId="0" fontId="0" fillId="0" borderId="0" xfId="0" applyFill="1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Fill="1" applyBorder="1" applyAlignment="1">
      <alignment vertical="center" textRotation="90"/>
    </xf>
    <xf numFmtId="0" fontId="0" fillId="0" borderId="0" xfId="0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right" vertical="center" wrapText="1"/>
    </xf>
    <xf numFmtId="11" fontId="0" fillId="0" borderId="12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3" fillId="0" borderId="0" xfId="0" applyFont="1" applyBorder="1" applyAlignment="1">
      <alignment horizontal="left" vertical="center" readingOrder="1"/>
    </xf>
    <xf numFmtId="172" fontId="0" fillId="0" borderId="0" xfId="0" applyNumberFormat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172" fontId="0" fillId="0" borderId="5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172" fontId="0" fillId="0" borderId="8" xfId="0" applyNumberFormat="1" applyBorder="1" applyAlignment="1">
      <alignment vertical="center"/>
    </xf>
    <xf numFmtId="166" fontId="0" fillId="0" borderId="5" xfId="0" applyNumberFormat="1" applyBorder="1" applyAlignment="1">
      <alignment vertical="center"/>
    </xf>
    <xf numFmtId="0" fontId="26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4" fillId="0" borderId="0" xfId="0" applyFont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41" fillId="10" borderId="0" xfId="0" applyFont="1" applyFill="1" applyBorder="1" applyAlignment="1">
      <alignment vertical="center"/>
    </xf>
    <xf numFmtId="0" fontId="39" fillId="1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2" fillId="11" borderId="0" xfId="0" applyFont="1" applyFill="1" applyBorder="1" applyAlignment="1">
      <alignment vertical="center" wrapText="1"/>
    </xf>
    <xf numFmtId="0" fontId="38" fillId="11" borderId="0" xfId="0" applyFont="1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27" fillId="9" borderId="0" xfId="0" applyNumberFormat="1" applyFont="1" applyFill="1" applyBorder="1" applyAlignment="1">
      <alignment vertical="center"/>
    </xf>
    <xf numFmtId="0" fontId="0" fillId="9" borderId="0" xfId="0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168" fontId="45" fillId="11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39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70" fontId="30" fillId="5" borderId="0" xfId="0" applyNumberFormat="1" applyFont="1" applyFill="1" applyBorder="1" applyAlignment="1">
      <alignment vertical="center"/>
    </xf>
    <xf numFmtId="169" fontId="45" fillId="11" borderId="0" xfId="0" applyNumberFormat="1" applyFont="1" applyFill="1" applyBorder="1" applyAlignment="1">
      <alignment vertical="center"/>
    </xf>
    <xf numFmtId="170" fontId="45" fillId="11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166" fontId="45" fillId="11" borderId="0" xfId="0" applyNumberFormat="1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4" fontId="45" fillId="11" borderId="0" xfId="0" applyNumberFormat="1" applyFont="1" applyFill="1" applyBorder="1" applyAlignment="1">
      <alignment horizontal="right" vertical="center"/>
    </xf>
    <xf numFmtId="166" fontId="2" fillId="8" borderId="0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left" vertical="center"/>
    </xf>
    <xf numFmtId="166" fontId="2" fillId="5" borderId="0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3" fontId="2" fillId="8" borderId="0" xfId="0" applyNumberFormat="1" applyFont="1" applyFill="1" applyBorder="1" applyAlignment="1">
      <alignment horizontal="right" vertical="center"/>
    </xf>
    <xf numFmtId="0" fontId="2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48" fillId="11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vertical="center" wrapText="1"/>
    </xf>
    <xf numFmtId="0" fontId="0" fillId="9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9" borderId="0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38" fillId="5" borderId="0" xfId="0" applyNumberFormat="1" applyFont="1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164" fontId="2" fillId="8" borderId="0" xfId="0" applyNumberFormat="1" applyFont="1" applyFill="1" applyBorder="1" applyAlignment="1">
      <alignment vertical="center"/>
    </xf>
    <xf numFmtId="9" fontId="2" fillId="8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left" vertical="center"/>
    </xf>
    <xf numFmtId="0" fontId="2" fillId="12" borderId="18" xfId="0" applyFont="1" applyFill="1" applyBorder="1" applyAlignment="1">
      <alignment vertical="center"/>
    </xf>
    <xf numFmtId="0" fontId="5" fillId="12" borderId="0" xfId="0" applyFont="1" applyFill="1" applyBorder="1" applyAlignment="1">
      <alignment vertical="center"/>
    </xf>
    <xf numFmtId="4" fontId="2" fillId="8" borderId="0" xfId="0" applyNumberFormat="1" applyFont="1" applyFill="1" applyBorder="1" applyAlignment="1">
      <alignment horizontal="right" vertical="center"/>
    </xf>
    <xf numFmtId="0" fontId="38" fillId="1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169" fontId="45" fillId="11" borderId="23" xfId="0" applyNumberFormat="1" applyFont="1" applyFill="1" applyBorder="1" applyAlignment="1">
      <alignment vertical="center"/>
    </xf>
    <xf numFmtId="0" fontId="18" fillId="12" borderId="18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9" fillId="11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9" borderId="18" xfId="0" applyFont="1" applyFill="1" applyBorder="1" applyAlignment="1">
      <alignment vertical="center"/>
    </xf>
    <xf numFmtId="3" fontId="45" fillId="11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38" fillId="10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21" fillId="9" borderId="23" xfId="0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168" fontId="45" fillId="5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3" fillId="0" borderId="0" xfId="0" applyFont="1" applyBorder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10" borderId="0" xfId="0" applyFont="1" applyFill="1" applyBorder="1" applyAlignment="1">
      <alignment vertical="center"/>
    </xf>
    <xf numFmtId="0" fontId="2" fillId="12" borderId="25" xfId="0" applyFont="1" applyFill="1" applyBorder="1" applyAlignment="1">
      <alignment vertical="center"/>
    </xf>
    <xf numFmtId="0" fontId="1" fillId="12" borderId="26" xfId="0" applyFont="1" applyFill="1" applyBorder="1" applyAlignment="1">
      <alignment vertical="center"/>
    </xf>
    <xf numFmtId="166" fontId="2" fillId="8" borderId="26" xfId="0" applyNumberFormat="1" applyFont="1" applyFill="1" applyBorder="1" applyAlignment="1">
      <alignment horizontal="right" vertical="center"/>
    </xf>
    <xf numFmtId="0" fontId="57" fillId="0" borderId="0" xfId="0" applyFont="1" applyBorder="1" applyAlignment="1">
      <alignment vertical="center"/>
    </xf>
    <xf numFmtId="0" fontId="5" fillId="5" borderId="18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3" fontId="0" fillId="5" borderId="0" xfId="0" applyNumberFormat="1" applyFill="1" applyBorder="1" applyAlignment="1">
      <alignment horizontal="right" vertical="center"/>
    </xf>
    <xf numFmtId="166" fontId="45" fillId="11" borderId="23" xfId="0" applyNumberFormat="1" applyFont="1" applyFill="1" applyBorder="1" applyAlignment="1">
      <alignment horizontal="right" vertical="center"/>
    </xf>
    <xf numFmtId="3" fontId="18" fillId="8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8" fillId="12" borderId="0" xfId="0" applyFont="1" applyFill="1" applyBorder="1" applyAlignment="1">
      <alignment vertical="center"/>
    </xf>
    <xf numFmtId="3" fontId="17" fillId="8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center" vertical="center"/>
    </xf>
    <xf numFmtId="167" fontId="2" fillId="8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vertical="center"/>
    </xf>
    <xf numFmtId="1" fontId="0" fillId="10" borderId="0" xfId="0" applyNumberFormat="1" applyFont="1" applyFill="1" applyBorder="1" applyAlignment="1">
      <alignment vertical="center"/>
    </xf>
    <xf numFmtId="0" fontId="52" fillId="5" borderId="0" xfId="0" applyFont="1" applyFill="1" applyBorder="1" applyAlignment="1">
      <alignment vertical="center" textRotation="90"/>
    </xf>
    <xf numFmtId="0" fontId="52" fillId="5" borderId="0" xfId="0" applyFont="1" applyFill="1" applyBorder="1" applyAlignment="1">
      <alignment vertical="center" textRotation="90" wrapText="1"/>
    </xf>
    <xf numFmtId="0" fontId="0" fillId="10" borderId="0" xfId="0" applyFill="1" applyBorder="1" applyAlignment="1">
      <alignment vertical="center"/>
    </xf>
    <xf numFmtId="3" fontId="0" fillId="10" borderId="0" xfId="0" applyNumberFormat="1" applyFill="1" applyBorder="1" applyAlignment="1">
      <alignment horizontal="right" vertical="center"/>
    </xf>
    <xf numFmtId="3" fontId="0" fillId="10" borderId="0" xfId="0" applyNumberFormat="1" applyFont="1" applyFill="1" applyBorder="1" applyAlignment="1">
      <alignment horizontal="right" vertical="center"/>
    </xf>
    <xf numFmtId="0" fontId="38" fillId="1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3" fillId="7" borderId="0" xfId="0" applyFont="1" applyFill="1" applyBorder="1" applyAlignment="1">
      <alignment vertical="center"/>
    </xf>
    <xf numFmtId="0" fontId="43" fillId="11" borderId="0" xfId="0" applyFont="1" applyFill="1" applyBorder="1" applyAlignment="1">
      <alignment vertical="center"/>
    </xf>
    <xf numFmtId="0" fontId="49" fillId="13" borderId="0" xfId="0" applyFont="1" applyFill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9" fillId="0" borderId="19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quotePrefix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164" fontId="0" fillId="0" borderId="0" xfId="0" applyNumberForma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3" fontId="5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5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167" fontId="0" fillId="0" borderId="5" xfId="3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9" fontId="0" fillId="0" borderId="5" xfId="1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9" fillId="0" borderId="2" xfId="0" applyFont="1" applyBorder="1" applyAlignment="1">
      <alignment vertical="center"/>
    </xf>
    <xf numFmtId="166" fontId="0" fillId="2" borderId="0" xfId="0" applyNumberForma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0" fillId="0" borderId="16" xfId="0" applyNumberFormat="1" applyFill="1" applyBorder="1" applyAlignment="1">
      <alignment horizontal="right" vertical="center"/>
    </xf>
    <xf numFmtId="0" fontId="19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19" xfId="0" applyFont="1" applyFill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66" fontId="2" fillId="2" borderId="0" xfId="0" applyNumberFormat="1" applyFont="1" applyFill="1" applyBorder="1" applyAlignment="1">
      <alignment vertical="center"/>
    </xf>
    <xf numFmtId="166" fontId="0" fillId="2" borderId="0" xfId="0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166" fontId="0" fillId="2" borderId="7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1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 wrapText="1"/>
    </xf>
    <xf numFmtId="2" fontId="0" fillId="0" borderId="0" xfId="0" applyNumberFormat="1" applyAlignment="1">
      <alignment vertical="center"/>
    </xf>
    <xf numFmtId="1" fontId="0" fillId="0" borderId="0" xfId="0" applyNumberFormat="1" applyBorder="1" applyAlignment="1">
      <alignment horizontal="right" vertical="center"/>
    </xf>
    <xf numFmtId="1" fontId="2" fillId="0" borderId="0" xfId="0" applyNumberFormat="1" applyFont="1" applyAlignment="1">
      <alignment vertical="center"/>
    </xf>
    <xf numFmtId="166" fontId="0" fillId="0" borderId="0" xfId="0" applyNumberForma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vertical="center"/>
    </xf>
    <xf numFmtId="9" fontId="2" fillId="0" borderId="0" xfId="1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49" fillId="14" borderId="0" xfId="0" applyFont="1" applyFill="1" applyAlignment="1">
      <alignment vertical="center"/>
    </xf>
    <xf numFmtId="0" fontId="37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/>
    </xf>
    <xf numFmtId="9" fontId="2" fillId="5" borderId="0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1" fontId="27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5" fillId="9" borderId="0" xfId="0" applyFont="1" applyFill="1" applyBorder="1" applyAlignment="1">
      <alignment vertical="center"/>
    </xf>
    <xf numFmtId="3" fontId="30" fillId="5" borderId="0" xfId="0" applyNumberFormat="1" applyFont="1" applyFill="1" applyBorder="1" applyAlignment="1">
      <alignment horizontal="right" vertical="center"/>
    </xf>
    <xf numFmtId="3" fontId="0" fillId="5" borderId="0" xfId="0" applyNumberFormat="1" applyFont="1" applyFill="1" applyBorder="1" applyAlignment="1">
      <alignment horizontal="right" vertical="center"/>
    </xf>
    <xf numFmtId="4" fontId="0" fillId="0" borderId="0" xfId="0" applyNumberForma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right"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66" fontId="0" fillId="0" borderId="0" xfId="0" applyNumberFormat="1" applyFill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42" fillId="12" borderId="0" xfId="0" applyFont="1" applyFill="1" applyBorder="1" applyAlignment="1">
      <alignment vertical="center"/>
    </xf>
    <xf numFmtId="1" fontId="5" fillId="0" borderId="7" xfId="0" applyNumberFormat="1" applyFont="1" applyBorder="1" applyAlignment="1">
      <alignment vertical="center"/>
    </xf>
    <xf numFmtId="0" fontId="42" fillId="5" borderId="0" xfId="0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3" fontId="30" fillId="5" borderId="0" xfId="0" applyNumberFormat="1" applyFont="1" applyFill="1" applyBorder="1" applyAlignment="1">
      <alignment vertical="center"/>
    </xf>
    <xf numFmtId="14" fontId="0" fillId="5" borderId="0" xfId="0" applyNumberFormat="1" applyFill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1" fontId="2" fillId="0" borderId="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8" borderId="0" xfId="0" applyFont="1" applyFill="1" applyBorder="1" applyAlignment="1">
      <alignment vertical="center" wrapText="1"/>
    </xf>
    <xf numFmtId="166" fontId="0" fillId="8" borderId="0" xfId="0" applyNumberFormat="1" applyFont="1" applyFill="1" applyBorder="1" applyAlignment="1">
      <alignment horizontal="right" vertical="center"/>
    </xf>
    <xf numFmtId="0" fontId="5" fillId="8" borderId="0" xfId="0" applyFont="1" applyFill="1" applyBorder="1" applyAlignment="1">
      <alignment vertical="center"/>
    </xf>
    <xf numFmtId="4" fontId="0" fillId="8" borderId="0" xfId="0" applyNumberFormat="1" applyFont="1" applyFill="1" applyBorder="1" applyAlignment="1">
      <alignment horizontal="right" vertical="center"/>
    </xf>
    <xf numFmtId="0" fontId="5" fillId="12" borderId="18" xfId="0" applyFont="1" applyFill="1" applyBorder="1" applyAlignment="1">
      <alignment vertical="center"/>
    </xf>
    <xf numFmtId="0" fontId="0" fillId="12" borderId="18" xfId="0" applyFont="1" applyFill="1" applyBorder="1" applyAlignment="1">
      <alignment vertical="center"/>
    </xf>
    <xf numFmtId="166" fontId="2" fillId="8" borderId="26" xfId="0" applyNumberFormat="1" applyFont="1" applyFill="1" applyBorder="1" applyAlignment="1">
      <alignment horizontal="center" vertical="center"/>
    </xf>
    <xf numFmtId="175" fontId="45" fillId="11" borderId="0" xfId="0" applyNumberFormat="1" applyFont="1" applyFill="1" applyBorder="1" applyAlignment="1">
      <alignment horizontal="right" vertical="center"/>
    </xf>
    <xf numFmtId="166" fontId="2" fillId="5" borderId="26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171" fontId="0" fillId="0" borderId="4" xfId="0" applyNumberFormat="1" applyBorder="1" applyAlignment="1">
      <alignment vertical="center"/>
    </xf>
    <xf numFmtId="171" fontId="0" fillId="0" borderId="6" xfId="0" applyNumberForma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3" fontId="0" fillId="5" borderId="0" xfId="0" applyNumberFormat="1" applyFill="1" applyBorder="1" applyAlignment="1">
      <alignment vertical="center"/>
    </xf>
    <xf numFmtId="0" fontId="0" fillId="5" borderId="0" xfId="0" quotePrefix="1" applyFill="1" applyBorder="1" applyAlignment="1">
      <alignment vertical="center"/>
    </xf>
    <xf numFmtId="166" fontId="0" fillId="5" borderId="0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9" fillId="5" borderId="6" xfId="0" applyFont="1" applyFill="1" applyBorder="1" applyAlignment="1">
      <alignment vertical="center"/>
    </xf>
    <xf numFmtId="0" fontId="19" fillId="5" borderId="7" xfId="0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3" fontId="0" fillId="15" borderId="0" xfId="0" applyNumberFormat="1" applyFill="1" applyBorder="1" applyAlignment="1">
      <alignment vertical="center"/>
    </xf>
    <xf numFmtId="4" fontId="0" fillId="15" borderId="0" xfId="0" applyNumberFormat="1" applyFill="1" applyBorder="1" applyAlignment="1">
      <alignment vertical="center"/>
    </xf>
    <xf numFmtId="166" fontId="0" fillId="15" borderId="0" xfId="0" applyNumberFormat="1" applyFill="1" applyBorder="1" applyAlignment="1">
      <alignment vertical="center"/>
    </xf>
    <xf numFmtId="166" fontId="2" fillId="15" borderId="0" xfId="0" applyNumberFormat="1" applyFont="1" applyFill="1" applyBorder="1" applyAlignment="1">
      <alignment vertical="center"/>
    </xf>
    <xf numFmtId="166" fontId="0" fillId="15" borderId="0" xfId="0" applyNumberFormat="1" applyFont="1" applyFill="1" applyBorder="1" applyAlignment="1">
      <alignment vertical="center"/>
    </xf>
    <xf numFmtId="166" fontId="0" fillId="15" borderId="7" xfId="0" applyNumberFormat="1" applyFont="1" applyFill="1" applyBorder="1" applyAlignment="1">
      <alignment vertical="center"/>
    </xf>
    <xf numFmtId="0" fontId="38" fillId="5" borderId="18" xfId="0" applyFont="1" applyFill="1" applyBorder="1" applyAlignment="1">
      <alignment vertical="center" shrinkToFit="1"/>
    </xf>
    <xf numFmtId="0" fontId="38" fillId="11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38" fillId="5" borderId="18" xfId="0" applyFont="1" applyFill="1" applyBorder="1" applyAlignment="1">
      <alignment vertical="center"/>
    </xf>
    <xf numFmtId="0" fontId="0" fillId="5" borderId="18" xfId="0" applyFont="1" applyFill="1" applyBorder="1" applyAlignment="1">
      <alignment vertical="center"/>
    </xf>
    <xf numFmtId="0" fontId="25" fillId="9" borderId="19" xfId="0" applyFont="1" applyFill="1" applyBorder="1" applyAlignment="1">
      <alignment vertical="center"/>
    </xf>
    <xf numFmtId="0" fontId="30" fillId="0" borderId="18" xfId="0" applyFont="1" applyFill="1" applyBorder="1" applyAlignment="1">
      <alignment vertical="center"/>
    </xf>
    <xf numFmtId="0" fontId="29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vertical="center" wrapText="1"/>
    </xf>
    <xf numFmtId="0" fontId="0" fillId="9" borderId="18" xfId="0" applyFont="1" applyFill="1" applyBorder="1" applyAlignment="1">
      <alignment vertical="center"/>
    </xf>
    <xf numFmtId="0" fontId="44" fillId="0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4" fillId="5" borderId="18" xfId="0" applyFont="1" applyFill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46" fillId="5" borderId="18" xfId="0" applyFont="1" applyFill="1" applyBorder="1" applyAlignment="1">
      <alignment vertical="center"/>
    </xf>
    <xf numFmtId="0" fontId="47" fillId="0" borderId="0" xfId="0" applyFont="1" applyBorder="1" applyAlignment="1">
      <alignment horizontal="right" vertical="center"/>
    </xf>
    <xf numFmtId="0" fontId="39" fillId="10" borderId="18" xfId="0" applyFont="1" applyFill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2" fillId="12" borderId="18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42" fillId="5" borderId="21" xfId="0" applyFont="1" applyFill="1" applyBorder="1" applyAlignment="1">
      <alignment vertical="center"/>
    </xf>
    <xf numFmtId="166" fontId="2" fillId="5" borderId="21" xfId="0" applyNumberFormat="1" applyFont="1" applyFill="1" applyBorder="1" applyAlignment="1">
      <alignment horizontal="right" vertical="center"/>
    </xf>
    <xf numFmtId="0" fontId="2" fillId="5" borderId="21" xfId="0" applyFont="1" applyFill="1" applyBorder="1" applyAlignment="1">
      <alignment vertical="center"/>
    </xf>
    <xf numFmtId="0" fontId="22" fillId="5" borderId="21" xfId="0" applyFont="1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12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0" fillId="0" borderId="18" xfId="0" applyFill="1" applyBorder="1" applyAlignment="1">
      <alignment vertical="center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30" fillId="0" borderId="20" xfId="0" applyFont="1" applyFill="1" applyBorder="1" applyAlignment="1">
      <alignment vertical="center"/>
    </xf>
    <xf numFmtId="0" fontId="30" fillId="0" borderId="21" xfId="0" applyFont="1" applyFill="1" applyBorder="1" applyAlignment="1">
      <alignment vertical="center"/>
    </xf>
    <xf numFmtId="3" fontId="30" fillId="5" borderId="21" xfId="0" applyNumberFormat="1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166" fontId="18" fillId="8" borderId="0" xfId="0" applyNumberFormat="1" applyFont="1" applyFill="1" applyBorder="1" applyAlignment="1">
      <alignment horizontal="right" vertical="center"/>
    </xf>
    <xf numFmtId="0" fontId="38" fillId="10" borderId="18" xfId="0" applyFont="1" applyFill="1" applyBorder="1" applyAlignment="1">
      <alignment vertical="center" shrinkToFit="1"/>
    </xf>
    <xf numFmtId="0" fontId="50" fillId="0" borderId="0" xfId="0" applyFont="1" applyBorder="1" applyAlignment="1">
      <alignment vertical="center" wrapText="1"/>
    </xf>
    <xf numFmtId="0" fontId="0" fillId="5" borderId="18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46" fillId="5" borderId="0" xfId="0" applyFont="1" applyFill="1" applyBorder="1" applyAlignment="1">
      <alignment horizontal="right" vertical="center"/>
    </xf>
    <xf numFmtId="3" fontId="38" fillId="11" borderId="0" xfId="0" applyNumberFormat="1" applyFont="1" applyFill="1" applyBorder="1" applyAlignment="1">
      <alignment horizontal="left" vertical="center"/>
    </xf>
    <xf numFmtId="0" fontId="5" fillId="7" borderId="0" xfId="0" applyFont="1" applyFill="1" applyBorder="1" applyAlignment="1" applyProtection="1">
      <alignment horizontal="right" vertical="center"/>
      <protection locked="0"/>
    </xf>
    <xf numFmtId="3" fontId="5" fillId="7" borderId="0" xfId="0" applyNumberFormat="1" applyFont="1" applyFill="1" applyBorder="1" applyAlignment="1" applyProtection="1">
      <alignment horizontal="right" vertical="center"/>
      <protection locked="0"/>
    </xf>
    <xf numFmtId="3" fontId="0" fillId="7" borderId="0" xfId="0" applyNumberFormat="1" applyFill="1" applyBorder="1" applyAlignment="1" applyProtection="1">
      <alignment horizontal="right" vertical="center"/>
      <protection locked="0"/>
    </xf>
    <xf numFmtId="0" fontId="0" fillId="7" borderId="0" xfId="0" applyFill="1" applyBorder="1" applyAlignment="1" applyProtection="1">
      <alignment vertical="center"/>
      <protection locked="0"/>
    </xf>
    <xf numFmtId="164" fontId="0" fillId="7" borderId="0" xfId="0" applyNumberFormat="1" applyFill="1" applyBorder="1" applyAlignment="1" applyProtection="1">
      <alignment horizontal="right" vertical="center"/>
      <protection locked="0"/>
    </xf>
    <xf numFmtId="0" fontId="0" fillId="7" borderId="0" xfId="0" applyFill="1" applyBorder="1" applyAlignment="1" applyProtection="1">
      <alignment horizontal="right" vertical="center"/>
      <protection locked="0"/>
    </xf>
    <xf numFmtId="4" fontId="0" fillId="7" borderId="0" xfId="0" applyNumberFormat="1" applyFill="1" applyBorder="1" applyAlignment="1" applyProtection="1">
      <alignment horizontal="right" vertical="center"/>
      <protection locked="0"/>
    </xf>
    <xf numFmtId="3" fontId="0" fillId="7" borderId="0" xfId="0" applyNumberFormat="1" applyFill="1" applyBorder="1" applyAlignment="1" applyProtection="1">
      <alignment vertical="center"/>
      <protection locked="0"/>
    </xf>
    <xf numFmtId="164" fontId="5" fillId="7" borderId="0" xfId="0" applyNumberFormat="1" applyFont="1" applyFill="1" applyBorder="1" applyAlignment="1" applyProtection="1">
      <alignment vertical="center" wrapText="1"/>
      <protection locked="0"/>
    </xf>
    <xf numFmtId="3" fontId="5" fillId="7" borderId="0" xfId="0" applyNumberFormat="1" applyFont="1" applyFill="1" applyBorder="1" applyAlignment="1" applyProtection="1">
      <alignment vertical="center"/>
      <protection locked="0"/>
    </xf>
    <xf numFmtId="10" fontId="0" fillId="7" borderId="0" xfId="0" applyNumberFormat="1" applyFill="1" applyBorder="1" applyAlignment="1" applyProtection="1">
      <alignment vertical="center"/>
      <protection locked="0"/>
    </xf>
    <xf numFmtId="3" fontId="0" fillId="7" borderId="23" xfId="0" applyNumberFormat="1" applyFill="1" applyBorder="1" applyAlignment="1" applyProtection="1">
      <alignment horizontal="right" vertical="center"/>
      <protection locked="0"/>
    </xf>
    <xf numFmtId="4" fontId="5" fillId="7" borderId="0" xfId="0" applyNumberFormat="1" applyFont="1" applyFill="1" applyBorder="1" applyAlignment="1" applyProtection="1">
      <alignment vertical="center"/>
      <protection locked="0"/>
    </xf>
    <xf numFmtId="3" fontId="0" fillId="7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Font="1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2" fillId="12" borderId="20" xfId="0" applyFont="1" applyFill="1" applyBorder="1" applyAlignment="1">
      <alignment vertical="center"/>
    </xf>
    <xf numFmtId="3" fontId="2" fillId="8" borderId="21" xfId="0" applyNumberFormat="1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1" xfId="0" applyBorder="1"/>
    <xf numFmtId="0" fontId="0" fillId="9" borderId="15" xfId="0" applyFont="1" applyFill="1" applyBorder="1" applyAlignment="1">
      <alignment vertical="center" wrapText="1"/>
    </xf>
    <xf numFmtId="0" fontId="0" fillId="9" borderId="16" xfId="0" applyFont="1" applyFill="1" applyBorder="1" applyAlignment="1">
      <alignment vertical="center" wrapText="1"/>
    </xf>
    <xf numFmtId="0" fontId="0" fillId="9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vertical="center" wrapText="1"/>
    </xf>
    <xf numFmtId="0" fontId="5" fillId="9" borderId="19" xfId="0" applyFont="1" applyFill="1" applyBorder="1" applyAlignment="1">
      <alignment vertical="center" wrapText="1"/>
    </xf>
    <xf numFmtId="0" fontId="0" fillId="12" borderId="20" xfId="0" applyFont="1" applyFill="1" applyBorder="1" applyAlignment="1">
      <alignment vertical="center" wrapText="1"/>
    </xf>
    <xf numFmtId="3" fontId="2" fillId="8" borderId="21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3" fontId="0" fillId="7" borderId="16" xfId="0" applyNumberFormat="1" applyFill="1" applyBorder="1" applyAlignment="1" applyProtection="1">
      <alignment horizontal="right" vertical="center"/>
      <protection locked="0"/>
    </xf>
    <xf numFmtId="0" fontId="1" fillId="0" borderId="17" xfId="0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vertical="center"/>
    </xf>
    <xf numFmtId="0" fontId="44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3" fontId="53" fillId="7" borderId="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Border="1" applyAlignment="1" applyProtection="1">
      <alignment vertical="center"/>
      <protection locked="0"/>
    </xf>
    <xf numFmtId="3" fontId="5" fillId="7" borderId="23" xfId="0" applyNumberFormat="1" applyFont="1" applyFill="1" applyBorder="1" applyAlignment="1" applyProtection="1">
      <alignment horizontal="right" vertical="center"/>
      <protection locked="0"/>
    </xf>
    <xf numFmtId="0" fontId="5" fillId="7" borderId="23" xfId="0" applyFont="1" applyFill="1" applyBorder="1" applyAlignment="1" applyProtection="1">
      <alignment vertical="center"/>
      <protection locked="0"/>
    </xf>
    <xf numFmtId="0" fontId="5" fillId="7" borderId="23" xfId="0" applyFont="1" applyFill="1" applyBorder="1" applyAlignment="1" applyProtection="1">
      <alignment horizontal="right" vertical="center"/>
      <protection locked="0"/>
    </xf>
    <xf numFmtId="3" fontId="5" fillId="7" borderId="24" xfId="0" applyNumberFormat="1" applyFont="1" applyFill="1" applyBorder="1" applyAlignment="1" applyProtection="1">
      <alignment horizontal="right" vertical="center"/>
      <protection locked="0"/>
    </xf>
    <xf numFmtId="3" fontId="0" fillId="7" borderId="24" xfId="0" applyNumberFormat="1" applyFill="1" applyBorder="1" applyAlignment="1" applyProtection="1">
      <alignment horizontal="right" vertical="center"/>
      <protection locked="0"/>
    </xf>
    <xf numFmtId="174" fontId="5" fillId="7" borderId="23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ont="1" applyFill="1" applyBorder="1" applyAlignment="1" applyProtection="1">
      <alignment vertical="center"/>
      <protection locked="0"/>
    </xf>
    <xf numFmtId="0" fontId="0" fillId="7" borderId="0" xfId="0" applyFont="1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>
      <alignment vertical="center"/>
    </xf>
    <xf numFmtId="0" fontId="0" fillId="9" borderId="0" xfId="0" applyFont="1" applyFill="1" applyBorder="1" applyAlignment="1">
      <alignment horizontal="left" vertical="center" wrapText="1"/>
    </xf>
    <xf numFmtId="0" fontId="0" fillId="9" borderId="19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top" wrapText="1"/>
    </xf>
    <xf numFmtId="0" fontId="2" fillId="12" borderId="18" xfId="0" applyFont="1" applyFill="1" applyBorder="1" applyAlignment="1">
      <alignment horizontal="left" vertical="center" wrapText="1"/>
    </xf>
    <xf numFmtId="0" fontId="2" fillId="1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8" fillId="9" borderId="0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52" fillId="11" borderId="0" xfId="0" applyFont="1" applyFill="1" applyBorder="1" applyAlignment="1">
      <alignment horizontal="center" vertical="center" textRotation="90"/>
    </xf>
    <xf numFmtId="0" fontId="0" fillId="7" borderId="0" xfId="0" applyFill="1" applyBorder="1" applyAlignment="1" applyProtection="1">
      <alignment horizontal="center" vertical="center"/>
      <protection locked="0"/>
    </xf>
    <xf numFmtId="0" fontId="52" fillId="11" borderId="0" xfId="0" applyFont="1" applyFill="1" applyBorder="1" applyAlignment="1">
      <alignment horizontal="center" vertical="center" textRotation="90" wrapText="1"/>
    </xf>
    <xf numFmtId="0" fontId="0" fillId="0" borderId="0" xfId="0" applyFont="1" applyBorder="1" applyAlignment="1">
      <alignment horizontal="left" vertical="center" wrapText="1"/>
    </xf>
    <xf numFmtId="0" fontId="17" fillId="0" borderId="19" xfId="0" applyFont="1" applyFill="1" applyBorder="1" applyAlignment="1">
      <alignment horizontal="center" vertical="center" textRotation="90"/>
    </xf>
    <xf numFmtId="0" fontId="44" fillId="0" borderId="0" xfId="0" applyFont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" fontId="0" fillId="0" borderId="0" xfId="0" applyNumberFormat="1" applyAlignment="1">
      <alignment vertical="center" wrapText="1"/>
    </xf>
  </cellXfs>
  <cellStyles count="176"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1" builtinId="9" hidden="1"/>
    <cellStyle name="Besuchter Hyperlink" xfId="53" builtinId="9" hidden="1"/>
    <cellStyle name="Besuchter Hyperlink" xfId="55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09" builtinId="9" hidden="1"/>
    <cellStyle name="Besuchter Hyperlink" xfId="111" builtinId="9" hidden="1"/>
    <cellStyle name="Besuchter Hyperlink" xfId="113" builtinId="9" hidden="1"/>
    <cellStyle name="Besuchter Hyperlink" xfId="115" builtinId="9" hidden="1"/>
    <cellStyle name="Besuchter Hyperlink" xfId="117" builtinId="9" hidden="1"/>
    <cellStyle name="Besuchter Hyperlink" xfId="119" builtinId="9" hidden="1"/>
    <cellStyle name="Besuchter Hyperlink" xfId="121" builtinId="9" hidden="1"/>
    <cellStyle name="Besuchter Hyperlink" xfId="123" builtinId="9" hidden="1"/>
    <cellStyle name="Besuchter Hyperlink" xfId="125" builtinId="9" hidden="1"/>
    <cellStyle name="Besuchter Hyperlink" xfId="127" builtinId="9" hidden="1"/>
    <cellStyle name="Besuchter Hyperlink" xfId="129" builtinId="9" hidden="1"/>
    <cellStyle name="Besuchter Hyperlink" xfId="131" builtinId="9" hidden="1"/>
    <cellStyle name="Besuchter Hyperlink" xfId="133" builtinId="9" hidden="1"/>
    <cellStyle name="Besuchter Hyperlink" xfId="135" builtinId="9" hidden="1"/>
    <cellStyle name="Besuchter Hyperlink" xfId="137" builtinId="9" hidden="1"/>
    <cellStyle name="Besuchter Hyperlink" xfId="139" builtinId="9" hidden="1"/>
    <cellStyle name="Besuchter Hyperlink" xfId="141" builtinId="9" hidden="1"/>
    <cellStyle name="Besuchter Hyperlink" xfId="143" builtinId="9" hidden="1"/>
    <cellStyle name="Besuchter Hyperlink" xfId="145" builtinId="9" hidden="1"/>
    <cellStyle name="Besuchter Hyperlink" xfId="147" builtinId="9" hidden="1"/>
    <cellStyle name="Besuchter Hyperlink" xfId="149" builtinId="9" hidden="1"/>
    <cellStyle name="Besuchter Hyperlink" xfId="151" builtinId="9" hidden="1"/>
    <cellStyle name="Besuchter Hyperlink" xfId="153" builtinId="9" hidden="1"/>
    <cellStyle name="Besuchter Hyperlink" xfId="155" builtinId="9" hidden="1"/>
    <cellStyle name="Besuchter Hyperlink" xfId="157" builtinId="9" hidden="1"/>
    <cellStyle name="Besuchter Hyperlink" xfId="159" builtinId="9" hidden="1"/>
    <cellStyle name="Besuchter Hyperlink" xfId="161" builtinId="9" hidden="1"/>
    <cellStyle name="Besuchter Hyperlink" xfId="163" builtinId="9" hidden="1"/>
    <cellStyle name="Besuchter Hyperlink" xfId="165" builtinId="9" hidden="1"/>
    <cellStyle name="Besuchter Hyperlink" xfId="167" builtinId="9" hidden="1"/>
    <cellStyle name="Besuchter Hyperlink" xfId="169" builtinId="9" hidden="1"/>
    <cellStyle name="Besuchter Hyperlink" xfId="171" builtinId="9" hidden="1"/>
    <cellStyle name="Besuchter Hyperlink" xfId="173" builtinId="9" hidden="1"/>
    <cellStyle name="Besuchter Hyperlink" xfId="175" builtinId="9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2" builtinId="8" hidden="1"/>
    <cellStyle name="Link" xfId="174" builtinId="8" hidden="1"/>
    <cellStyle name="Prozent" xfId="1" builtinId="5"/>
    <cellStyle name="Prozent 2" xfId="3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A3CC31"/>
      <color rgb="FF43ACE0"/>
      <color rgb="FFD6E6F4"/>
      <color rgb="FFB0D42E"/>
      <color rgb="FF58B6DA"/>
      <color rgb="FFCCFF66"/>
      <color rgb="FF99CC00"/>
      <color rgb="FF51C0D5"/>
      <color rgb="FFFBC00C"/>
      <color rgb="FFFE6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intercept val="1.292"/>
            <c:dispRSqr val="1"/>
            <c:dispEq val="1"/>
            <c:trendlineLbl>
              <c:layout>
                <c:manualLayout>
                  <c:x val="-0.215742782152231"/>
                  <c:y val="9.090004374453200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Stoffwerte!$A$77:$A$104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60</c:v>
                </c:pt>
                <c:pt idx="12">
                  <c:v>70</c:v>
                </c:pt>
                <c:pt idx="13">
                  <c:v>80</c:v>
                </c:pt>
                <c:pt idx="14">
                  <c:v>90</c:v>
                </c:pt>
                <c:pt idx="15">
                  <c:v>100</c:v>
                </c:pt>
                <c:pt idx="16">
                  <c:v>110</c:v>
                </c:pt>
                <c:pt idx="17">
                  <c:v>120</c:v>
                </c:pt>
                <c:pt idx="18">
                  <c:v>140</c:v>
                </c:pt>
                <c:pt idx="19">
                  <c:v>160</c:v>
                </c:pt>
                <c:pt idx="20">
                  <c:v>180</c:v>
                </c:pt>
                <c:pt idx="21">
                  <c:v>200</c:v>
                </c:pt>
                <c:pt idx="22">
                  <c:v>250</c:v>
                </c:pt>
                <c:pt idx="23">
                  <c:v>300</c:v>
                </c:pt>
                <c:pt idx="24">
                  <c:v>350</c:v>
                </c:pt>
                <c:pt idx="25">
                  <c:v>400</c:v>
                </c:pt>
                <c:pt idx="26">
                  <c:v>450</c:v>
                </c:pt>
                <c:pt idx="27">
                  <c:v>500</c:v>
                </c:pt>
              </c:numCache>
            </c:numRef>
          </c:xVal>
          <c:yVal>
            <c:numRef>
              <c:f>Stoffwerte!$B$77:$B$104</c:f>
              <c:numCache>
                <c:formatCode>General</c:formatCode>
                <c:ptCount val="28"/>
                <c:pt idx="0">
                  <c:v>1.292</c:v>
                </c:pt>
                <c:pt idx="1">
                  <c:v>1.2689999999999999</c:v>
                </c:pt>
                <c:pt idx="2">
                  <c:v>1.246</c:v>
                </c:pt>
                <c:pt idx="3">
                  <c:v>1.2250000000000001</c:v>
                </c:pt>
                <c:pt idx="4">
                  <c:v>1.204</c:v>
                </c:pt>
                <c:pt idx="5">
                  <c:v>1.1839999999999999</c:v>
                </c:pt>
                <c:pt idx="6">
                  <c:v>1.1639999999999999</c:v>
                </c:pt>
                <c:pt idx="7">
                  <c:v>1.145</c:v>
                </c:pt>
                <c:pt idx="8">
                  <c:v>1.127</c:v>
                </c:pt>
                <c:pt idx="9">
                  <c:v>1.109</c:v>
                </c:pt>
                <c:pt idx="10">
                  <c:v>1.0920000000000001</c:v>
                </c:pt>
                <c:pt idx="11">
                  <c:v>1.0589999999999999</c:v>
                </c:pt>
                <c:pt idx="12">
                  <c:v>1.028</c:v>
                </c:pt>
                <c:pt idx="13">
                  <c:v>0.99939999999999996</c:v>
                </c:pt>
                <c:pt idx="14">
                  <c:v>0.9718</c:v>
                </c:pt>
                <c:pt idx="15">
                  <c:v>0.94579999999999997</c:v>
                </c:pt>
                <c:pt idx="16">
                  <c:v>0.92100000000000004</c:v>
                </c:pt>
                <c:pt idx="17">
                  <c:v>0.89770000000000005</c:v>
                </c:pt>
                <c:pt idx="18">
                  <c:v>0.85419999999999996</c:v>
                </c:pt>
                <c:pt idx="19">
                  <c:v>0.81479999999999997</c:v>
                </c:pt>
                <c:pt idx="20">
                  <c:v>0.77880000000000005</c:v>
                </c:pt>
                <c:pt idx="21">
                  <c:v>0.74590000000000001</c:v>
                </c:pt>
                <c:pt idx="22">
                  <c:v>0.67459999999999998</c:v>
                </c:pt>
                <c:pt idx="23">
                  <c:v>0.61580000000000001</c:v>
                </c:pt>
                <c:pt idx="24">
                  <c:v>0.56640000000000001</c:v>
                </c:pt>
                <c:pt idx="25">
                  <c:v>0.52429999999999999</c:v>
                </c:pt>
                <c:pt idx="26">
                  <c:v>0.48799999999999999</c:v>
                </c:pt>
                <c:pt idx="27">
                  <c:v>0.45650000000000002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665440"/>
        <c:axId val="310659168"/>
      </c:scatterChart>
      <c:valAx>
        <c:axId val="31066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659168"/>
        <c:crosses val="autoZero"/>
        <c:crossBetween val="midCat"/>
      </c:valAx>
      <c:valAx>
        <c:axId val="3106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66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66675</xdr:rowOff>
    </xdr:from>
    <xdr:to>
      <xdr:col>2</xdr:col>
      <xdr:colOff>1695450</xdr:colOff>
      <xdr:row>4</xdr:row>
      <xdr:rowOff>61595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A60F8F3F-ACEC-4996-8634-DB36FF1F7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6675"/>
          <a:ext cx="1590675" cy="866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593911</xdr:colOff>
      <xdr:row>1</xdr:row>
      <xdr:rowOff>280147</xdr:rowOff>
    </xdr:from>
    <xdr:to>
      <xdr:col>5</xdr:col>
      <xdr:colOff>1019997</xdr:colOff>
      <xdr:row>4</xdr:row>
      <xdr:rowOff>115914</xdr:rowOff>
    </xdr:to>
    <xdr:pic>
      <xdr:nvPicPr>
        <xdr:cNvPr id="8" name="Bild 7" descr="SAENA_H1_ Abwaermequellen_Exeltool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1" y="470647"/>
          <a:ext cx="3877498" cy="508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66675</xdr:rowOff>
    </xdr:from>
    <xdr:to>
      <xdr:col>2</xdr:col>
      <xdr:colOff>1695450</xdr:colOff>
      <xdr:row>4</xdr:row>
      <xdr:rowOff>66675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98062E02-5000-47C0-B717-9B81BBF16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6675"/>
          <a:ext cx="1590675" cy="889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269875</xdr:colOff>
      <xdr:row>26</xdr:row>
      <xdr:rowOff>27215</xdr:rowOff>
    </xdr:from>
    <xdr:to>
      <xdr:col>5</xdr:col>
      <xdr:colOff>274412</xdr:colOff>
      <xdr:row>28</xdr:row>
      <xdr:rowOff>142875</xdr:rowOff>
    </xdr:to>
    <xdr:cxnSp macro="">
      <xdr:nvCxnSpPr>
        <xdr:cNvPr id="4" name="Gerade Verbindung mit Pfeil 3">
          <a:extLst>
            <a:ext uri="{FF2B5EF4-FFF2-40B4-BE49-F238E27FC236}">
              <a16:creationId xmlns="" xmlns:a16="http://schemas.microsoft.com/office/drawing/2014/main" id="{586F7FE3-E870-4509-A863-E2361BFE22A4}"/>
            </a:ext>
          </a:extLst>
        </xdr:cNvPr>
        <xdr:cNvCxnSpPr/>
      </xdr:nvCxnSpPr>
      <xdr:spPr>
        <a:xfrm flipH="1">
          <a:off x="6699250" y="4154715"/>
          <a:ext cx="4537" cy="496660"/>
        </a:xfrm>
        <a:prstGeom prst="straightConnector1">
          <a:avLst/>
        </a:prstGeom>
        <a:ln w="28575">
          <a:solidFill>
            <a:srgbClr val="58B6D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26</xdr:row>
      <xdr:rowOff>127000</xdr:rowOff>
    </xdr:from>
    <xdr:to>
      <xdr:col>7</xdr:col>
      <xdr:colOff>47625</xdr:colOff>
      <xdr:row>28</xdr:row>
      <xdr:rowOff>47625</xdr:rowOff>
    </xdr:to>
    <xdr:sp macro="" textlink="">
      <xdr:nvSpPr>
        <xdr:cNvPr id="6" name="Textfeld 5">
          <a:extLst>
            <a:ext uri="{FF2B5EF4-FFF2-40B4-BE49-F238E27FC236}">
              <a16:creationId xmlns="" xmlns:a16="http://schemas.microsoft.com/office/drawing/2014/main" id="{6F663F89-642E-48A9-8019-A50961A64077}"/>
            </a:ext>
          </a:extLst>
        </xdr:cNvPr>
        <xdr:cNvSpPr txBox="1"/>
      </xdr:nvSpPr>
      <xdr:spPr>
        <a:xfrm>
          <a:off x="6762750" y="4254500"/>
          <a:ext cx="1651000" cy="301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600"/>
            <a:t>NEIN</a:t>
          </a:r>
        </a:p>
      </xdr:txBody>
    </xdr:sp>
    <xdr:clientData/>
  </xdr:twoCellAnchor>
  <xdr:twoCellAnchor>
    <xdr:from>
      <xdr:col>7</xdr:col>
      <xdr:colOff>1041400</xdr:colOff>
      <xdr:row>26</xdr:row>
      <xdr:rowOff>88900</xdr:rowOff>
    </xdr:from>
    <xdr:to>
      <xdr:col>8</xdr:col>
      <xdr:colOff>1644650</xdr:colOff>
      <xdr:row>28</xdr:row>
      <xdr:rowOff>9525</xdr:rowOff>
    </xdr:to>
    <xdr:sp macro="" textlink="">
      <xdr:nvSpPr>
        <xdr:cNvPr id="9" name="Textfeld 8">
          <a:extLst>
            <a:ext uri="{FF2B5EF4-FFF2-40B4-BE49-F238E27FC236}">
              <a16:creationId xmlns="" xmlns:a16="http://schemas.microsoft.com/office/drawing/2014/main" id="{60199118-FF02-4DAA-ADAD-33CF386FE13F}"/>
            </a:ext>
          </a:extLst>
        </xdr:cNvPr>
        <xdr:cNvSpPr txBox="1"/>
      </xdr:nvSpPr>
      <xdr:spPr>
        <a:xfrm>
          <a:off x="9407525" y="4216400"/>
          <a:ext cx="1651000" cy="301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600"/>
            <a:t>JA</a:t>
          </a:r>
        </a:p>
      </xdr:txBody>
    </xdr:sp>
    <xdr:clientData/>
  </xdr:twoCellAnchor>
  <xdr:twoCellAnchor>
    <xdr:from>
      <xdr:col>7</xdr:col>
      <xdr:colOff>1009650</xdr:colOff>
      <xdr:row>26</xdr:row>
      <xdr:rowOff>36740</xdr:rowOff>
    </xdr:from>
    <xdr:to>
      <xdr:col>7</xdr:col>
      <xdr:colOff>1014187</xdr:colOff>
      <xdr:row>28</xdr:row>
      <xdr:rowOff>152400</xdr:rowOff>
    </xdr:to>
    <xdr:cxnSp macro="">
      <xdr:nvCxnSpPr>
        <xdr:cNvPr id="11" name="Gerade Verbindung mit Pfeil 10">
          <a:extLst>
            <a:ext uri="{FF2B5EF4-FFF2-40B4-BE49-F238E27FC236}">
              <a16:creationId xmlns="" xmlns:a16="http://schemas.microsoft.com/office/drawing/2014/main" id="{CCD7A403-1A2C-4797-91CC-378F4CB5CC59}"/>
            </a:ext>
          </a:extLst>
        </xdr:cNvPr>
        <xdr:cNvCxnSpPr/>
      </xdr:nvCxnSpPr>
      <xdr:spPr>
        <a:xfrm flipH="1">
          <a:off x="9375775" y="4164240"/>
          <a:ext cx="4537" cy="496660"/>
        </a:xfrm>
        <a:prstGeom prst="straightConnector1">
          <a:avLst/>
        </a:prstGeom>
        <a:ln w="28575">
          <a:solidFill>
            <a:srgbClr val="58B6D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750794</xdr:colOff>
      <xdr:row>2</xdr:row>
      <xdr:rowOff>18635</xdr:rowOff>
    </xdr:from>
    <xdr:to>
      <xdr:col>8</xdr:col>
      <xdr:colOff>190500</xdr:colOff>
      <xdr:row>4</xdr:row>
      <xdr:rowOff>67235</xdr:rowOff>
    </xdr:to>
    <xdr:pic>
      <xdr:nvPicPr>
        <xdr:cNvPr id="5" name="Bild 4" descr="SAENA_H1_AbwaermeVermeiden_Exeltool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88" y="500488"/>
          <a:ext cx="4157383" cy="42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66675</xdr:rowOff>
    </xdr:from>
    <xdr:to>
      <xdr:col>2</xdr:col>
      <xdr:colOff>1695450</xdr:colOff>
      <xdr:row>4</xdr:row>
      <xdr:rowOff>66675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4B8F47D9-0DE8-4815-B912-40DE2029E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1590675" cy="866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56029</xdr:colOff>
      <xdr:row>1</xdr:row>
      <xdr:rowOff>250789</xdr:rowOff>
    </xdr:from>
    <xdr:to>
      <xdr:col>10</xdr:col>
      <xdr:colOff>1288676</xdr:colOff>
      <xdr:row>4</xdr:row>
      <xdr:rowOff>75602</xdr:rowOff>
    </xdr:to>
    <xdr:pic>
      <xdr:nvPicPr>
        <xdr:cNvPr id="3" name="Bild 2" descr="SAENA_H1_WaermeSenken_Exeltool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7353" y="441289"/>
          <a:ext cx="3585882" cy="4971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74</xdr:row>
      <xdr:rowOff>33337</xdr:rowOff>
    </xdr:from>
    <xdr:to>
      <xdr:col>9</xdr:col>
      <xdr:colOff>76200</xdr:colOff>
      <xdr:row>88</xdr:row>
      <xdr:rowOff>109537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D6E6F4"/>
    <pageSetUpPr fitToPage="1"/>
  </sheetPr>
  <dimension ref="A1:BC311"/>
  <sheetViews>
    <sheetView showGridLines="0" tabSelected="1" zoomScale="85" zoomScaleNormal="85" zoomScalePageLayoutView="75" workbookViewId="0">
      <pane ySplit="6" topLeftCell="A15" activePane="bottomLeft" state="frozen"/>
      <selection pane="bottomLeft" activeCell="E44" sqref="E44"/>
    </sheetView>
  </sheetViews>
  <sheetFormatPr baseColWidth="10" defaultColWidth="11.42578125" defaultRowHeight="15" x14ac:dyDescent="0.25"/>
  <cols>
    <col min="1" max="1" width="3.7109375" style="171" customWidth="1"/>
    <col min="2" max="2" width="7.140625" style="171" customWidth="1"/>
    <col min="3" max="3" width="57.7109375" style="37" customWidth="1"/>
    <col min="4" max="4" width="19.5703125" style="37" customWidth="1"/>
    <col min="5" max="5" width="32.28515625" style="37" customWidth="1"/>
    <col min="6" max="6" width="15.7109375" style="37" customWidth="1"/>
    <col min="7" max="7" width="38.28515625" style="37" customWidth="1"/>
    <col min="8" max="8" width="17.28515625" style="37" customWidth="1"/>
    <col min="9" max="9" width="24.85546875" style="37" customWidth="1"/>
    <col min="10" max="10" width="22.85546875" style="37" customWidth="1"/>
    <col min="11" max="11" width="8.42578125" style="37" customWidth="1"/>
    <col min="12" max="12" width="139.28515625" style="171" customWidth="1"/>
    <col min="13" max="13" width="11.42578125" style="37" customWidth="1"/>
    <col min="14" max="14" width="11.42578125" style="37"/>
    <col min="15" max="15" width="9.85546875" style="37" customWidth="1"/>
    <col min="16" max="21" width="11.42578125" style="37"/>
    <col min="22" max="22" width="24.28515625" style="37" customWidth="1"/>
    <col min="23" max="23" width="14.28515625" style="37" customWidth="1"/>
    <col min="24" max="24" width="5.140625" style="37" customWidth="1"/>
    <col min="25" max="25" width="11.42578125" style="37"/>
    <col min="26" max="26" width="1.85546875" style="37" customWidth="1"/>
    <col min="27" max="27" width="62.140625" style="37" customWidth="1"/>
    <col min="28" max="32" width="11.42578125" style="37"/>
    <col min="33" max="33" width="13.140625" style="37" customWidth="1"/>
    <col min="34" max="16384" width="11.42578125" style="37"/>
  </cols>
  <sheetData>
    <row r="1" spans="2:55" x14ac:dyDescent="0.25">
      <c r="B1" s="68"/>
      <c r="D1" s="174"/>
    </row>
    <row r="2" spans="2:55" ht="23.25" x14ac:dyDescent="0.25">
      <c r="B2" s="68"/>
      <c r="C2" s="175"/>
      <c r="D2" s="175"/>
    </row>
    <row r="3" spans="2:55" x14ac:dyDescent="0.25">
      <c r="B3" s="68"/>
      <c r="I3" s="176" t="s">
        <v>5</v>
      </c>
      <c r="J3" s="176"/>
    </row>
    <row r="4" spans="2:55" x14ac:dyDescent="0.25">
      <c r="B4" s="68"/>
      <c r="I4" s="177" t="s">
        <v>1841</v>
      </c>
      <c r="J4" s="177"/>
    </row>
    <row r="5" spans="2:55" x14ac:dyDescent="0.25">
      <c r="B5" s="68"/>
      <c r="I5" s="178" t="s">
        <v>1829</v>
      </c>
      <c r="J5" s="178"/>
    </row>
    <row r="6" spans="2:55" x14ac:dyDescent="0.25">
      <c r="B6" s="68"/>
      <c r="G6" s="37" t="s">
        <v>1819</v>
      </c>
    </row>
    <row r="7" spans="2:55" x14ac:dyDescent="0.25">
      <c r="C7" s="171"/>
      <c r="D7" s="171"/>
      <c r="E7" s="171"/>
      <c r="F7" s="171"/>
      <c r="G7" s="171"/>
      <c r="H7" s="171"/>
      <c r="I7" s="171"/>
      <c r="J7" s="171"/>
      <c r="K7" s="171"/>
    </row>
    <row r="8" spans="2:55" ht="15.7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S8" s="44"/>
      <c r="U8" s="180"/>
      <c r="V8" s="91"/>
      <c r="W8" s="180"/>
      <c r="X8" s="91"/>
    </row>
    <row r="9" spans="2:55" ht="15.75" x14ac:dyDescent="0.25">
      <c r="B9" s="179"/>
      <c r="D9" s="287"/>
      <c r="E9" s="287"/>
      <c r="F9" s="287"/>
      <c r="G9" s="287"/>
      <c r="H9" s="287"/>
      <c r="S9" s="44"/>
      <c r="U9" s="180"/>
      <c r="V9" s="91"/>
      <c r="W9" s="180"/>
      <c r="X9" s="91"/>
    </row>
    <row r="10" spans="2:55" ht="45" x14ac:dyDescent="0.25">
      <c r="B10" s="179"/>
      <c r="C10" s="317" t="s">
        <v>1853</v>
      </c>
      <c r="D10" s="287"/>
      <c r="E10" s="287"/>
      <c r="F10" s="287"/>
      <c r="G10" s="287"/>
      <c r="H10" s="287"/>
      <c r="S10" s="44"/>
      <c r="U10" s="180"/>
      <c r="V10" s="91"/>
      <c r="W10" s="180"/>
      <c r="X10" s="91"/>
    </row>
    <row r="11" spans="2:55" ht="24" customHeight="1" x14ac:dyDescent="0.25">
      <c r="B11" s="179"/>
      <c r="C11" s="287"/>
      <c r="D11" s="287"/>
      <c r="E11" s="287"/>
      <c r="F11" s="287"/>
      <c r="G11" s="287"/>
      <c r="H11" s="287"/>
      <c r="U11" s="91"/>
      <c r="V11" s="91"/>
      <c r="W11" s="91"/>
      <c r="X11" s="91"/>
    </row>
    <row r="12" spans="2:55" ht="30" x14ac:dyDescent="0.25">
      <c r="B12" s="179"/>
      <c r="C12" s="316" t="s">
        <v>1820</v>
      </c>
      <c r="D12" s="287"/>
      <c r="E12" s="287"/>
      <c r="F12" s="287"/>
      <c r="G12" s="287"/>
      <c r="H12" s="287"/>
      <c r="M12" s="62"/>
      <c r="Q12" s="62"/>
      <c r="R12" s="62"/>
      <c r="S12" s="62"/>
      <c r="T12" s="62"/>
      <c r="U12" s="91"/>
      <c r="V12" s="91"/>
      <c r="W12" s="91"/>
      <c r="X12" s="91"/>
      <c r="Y12" s="62"/>
      <c r="Z12" s="62"/>
      <c r="AA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</row>
    <row r="13" spans="2:55" ht="24" customHeight="1" x14ac:dyDescent="0.25">
      <c r="B13" s="68"/>
      <c r="C13" s="316"/>
      <c r="D13" s="105"/>
      <c r="E13" s="105"/>
      <c r="F13" s="105"/>
      <c r="G13" s="105"/>
      <c r="H13" s="105"/>
      <c r="I13" s="105"/>
      <c r="J13" s="105"/>
      <c r="K13" s="4"/>
      <c r="M13" s="62"/>
      <c r="Q13" s="62"/>
      <c r="R13" s="62"/>
      <c r="S13" s="62"/>
      <c r="T13" s="62"/>
      <c r="U13" s="91"/>
      <c r="V13" s="91"/>
      <c r="W13" s="91"/>
      <c r="X13" s="91"/>
      <c r="Y13" s="62"/>
      <c r="Z13" s="62"/>
      <c r="AA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</row>
    <row r="14" spans="2:55" ht="60" x14ac:dyDescent="0.25">
      <c r="B14" s="68"/>
      <c r="C14" s="317" t="s">
        <v>1822</v>
      </c>
      <c r="D14" s="105"/>
      <c r="E14" s="105"/>
      <c r="F14" s="105"/>
      <c r="G14" s="105"/>
      <c r="H14" s="105"/>
      <c r="I14" s="105"/>
      <c r="J14" s="105"/>
      <c r="K14" s="4"/>
      <c r="M14" s="62"/>
      <c r="Q14" s="62"/>
      <c r="R14" s="62"/>
      <c r="S14" s="62"/>
      <c r="T14" s="62"/>
      <c r="U14" s="91"/>
      <c r="V14" s="91"/>
      <c r="W14" s="91"/>
      <c r="X14" s="91"/>
      <c r="Y14" s="62"/>
      <c r="Z14" s="62"/>
      <c r="AA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</row>
    <row r="15" spans="2:55" ht="105" x14ac:dyDescent="0.25">
      <c r="B15" s="68"/>
      <c r="C15" s="105" t="s">
        <v>1821</v>
      </c>
      <c r="K15" s="4"/>
      <c r="M15" s="62"/>
      <c r="Q15" s="62"/>
      <c r="R15" s="62"/>
      <c r="S15" s="62"/>
      <c r="T15" s="62"/>
      <c r="U15" s="91"/>
      <c r="V15" s="91"/>
      <c r="W15" s="132"/>
      <c r="X15" s="91"/>
      <c r="Y15" s="62"/>
      <c r="Z15" s="62"/>
      <c r="AA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</row>
    <row r="16" spans="2:55" ht="15.75" thickBot="1" x14ac:dyDescent="0.3">
      <c r="B16" s="68"/>
      <c r="C16" s="105"/>
      <c r="K16" s="4"/>
      <c r="M16" s="62"/>
      <c r="Q16" s="62"/>
      <c r="R16" s="62"/>
      <c r="S16" s="62"/>
      <c r="T16" s="62"/>
      <c r="U16" s="91"/>
      <c r="V16" s="91"/>
      <c r="W16" s="132"/>
      <c r="X16" s="91"/>
      <c r="Y16" s="62"/>
      <c r="Z16" s="62"/>
      <c r="AA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</row>
    <row r="17" spans="2:55" x14ac:dyDescent="0.25">
      <c r="B17" s="68"/>
      <c r="C17" s="181"/>
      <c r="D17" s="182"/>
      <c r="E17" s="182"/>
      <c r="F17" s="182"/>
      <c r="G17" s="182"/>
      <c r="H17" s="182"/>
      <c r="I17" s="182"/>
      <c r="J17" s="183"/>
      <c r="K17" s="4"/>
      <c r="M17" s="62"/>
      <c r="Q17" s="62"/>
      <c r="R17" s="62"/>
      <c r="S17" s="62"/>
      <c r="T17" s="62"/>
      <c r="U17" s="91"/>
      <c r="V17" s="91"/>
      <c r="W17" s="132"/>
      <c r="X17" s="91"/>
      <c r="Y17" s="62"/>
      <c r="Z17" s="62"/>
      <c r="AA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</row>
    <row r="18" spans="2:55" ht="21.95" customHeight="1" x14ac:dyDescent="0.25">
      <c r="B18" s="68"/>
      <c r="C18" s="443" t="s">
        <v>1834</v>
      </c>
      <c r="D18" s="165"/>
      <c r="E18" s="450" t="s">
        <v>1881</v>
      </c>
      <c r="J18" s="184"/>
      <c r="K18" s="4"/>
      <c r="M18" s="62"/>
      <c r="Q18" s="62"/>
      <c r="R18" s="62"/>
      <c r="S18" s="62"/>
      <c r="T18" s="62"/>
      <c r="U18" s="91"/>
      <c r="V18" s="91"/>
      <c r="W18" s="132"/>
      <c r="X18" s="91"/>
      <c r="Y18" s="62"/>
      <c r="Z18" s="62"/>
      <c r="AA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</row>
    <row r="19" spans="2:55" x14ac:dyDescent="0.25">
      <c r="B19" s="68"/>
      <c r="C19" s="401"/>
      <c r="D19" s="39"/>
      <c r="E19" s="39"/>
      <c r="J19" s="184"/>
      <c r="K19" s="4"/>
      <c r="L19" s="323"/>
      <c r="M19" s="62"/>
      <c r="Q19" s="62"/>
      <c r="R19" s="62"/>
      <c r="S19" s="62"/>
      <c r="T19" s="62"/>
      <c r="U19" s="91"/>
      <c r="V19" s="91"/>
      <c r="W19" s="132"/>
      <c r="X19" s="91"/>
      <c r="Y19" s="62"/>
      <c r="Z19" s="62"/>
      <c r="AA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</row>
    <row r="20" spans="2:55" ht="21.95" customHeight="1" x14ac:dyDescent="0.25">
      <c r="B20" s="68"/>
      <c r="C20" s="111" t="s">
        <v>1823</v>
      </c>
      <c r="D20" s="52"/>
      <c r="E20" s="450">
        <v>120</v>
      </c>
      <c r="F20" s="38" t="s">
        <v>1867</v>
      </c>
      <c r="J20" s="184"/>
      <c r="K20" s="4"/>
      <c r="S20" s="62"/>
      <c r="T20" s="62"/>
      <c r="U20" s="185"/>
      <c r="V20" s="91"/>
      <c r="W20" s="132"/>
      <c r="X20" s="91"/>
    </row>
    <row r="21" spans="2:55" x14ac:dyDescent="0.25">
      <c r="B21" s="68"/>
      <c r="C21" s="111"/>
      <c r="J21" s="184"/>
      <c r="K21" s="4"/>
      <c r="S21" s="62"/>
      <c r="T21" s="62"/>
      <c r="U21" s="185"/>
      <c r="V21" s="91"/>
      <c r="W21" s="132"/>
      <c r="X21" s="91"/>
    </row>
    <row r="22" spans="2:55" ht="21.95" customHeight="1" x14ac:dyDescent="0.25">
      <c r="B22" s="68"/>
      <c r="C22" s="402" t="s">
        <v>79</v>
      </c>
      <c r="D22" s="49"/>
      <c r="E22" s="49"/>
      <c r="H22" s="324"/>
      <c r="I22" s="325"/>
      <c r="J22" s="403"/>
      <c r="K22" s="10"/>
      <c r="N22" s="44"/>
      <c r="P22" s="44"/>
      <c r="S22" s="62"/>
      <c r="T22" s="346"/>
      <c r="U22" s="346"/>
      <c r="V22" s="346"/>
      <c r="W22" s="64"/>
      <c r="X22" s="144"/>
      <c r="Y22" s="144"/>
      <c r="Z22" s="144"/>
      <c r="AA22" s="64"/>
    </row>
    <row r="23" spans="2:55" x14ac:dyDescent="0.25">
      <c r="B23" s="68"/>
      <c r="C23" s="404"/>
      <c r="D23" s="61"/>
      <c r="E23" s="61"/>
      <c r="H23" s="324"/>
      <c r="I23" s="325"/>
      <c r="J23" s="403"/>
      <c r="K23" s="10"/>
      <c r="N23" s="44"/>
      <c r="P23" s="44"/>
      <c r="S23" s="62"/>
      <c r="T23" s="346"/>
      <c r="U23" s="346"/>
      <c r="V23" s="346"/>
      <c r="W23" s="380"/>
      <c r="X23" s="144"/>
      <c r="Y23" s="144"/>
      <c r="Z23" s="144"/>
      <c r="AA23" s="64"/>
    </row>
    <row r="24" spans="2:55" ht="21.95" customHeight="1" x14ac:dyDescent="0.25">
      <c r="B24" s="68"/>
      <c r="C24" s="405" t="s">
        <v>1860</v>
      </c>
      <c r="D24" s="53"/>
      <c r="E24" s="451">
        <v>2400</v>
      </c>
      <c r="F24" s="45" t="s">
        <v>109</v>
      </c>
      <c r="G24" s="56" t="s">
        <v>1837</v>
      </c>
      <c r="H24" s="55"/>
      <c r="I24" s="327"/>
      <c r="J24" s="406"/>
      <c r="K24" s="10"/>
      <c r="N24" s="44"/>
      <c r="P24" s="44"/>
      <c r="S24" s="62"/>
      <c r="T24" s="346"/>
      <c r="U24" s="346"/>
      <c r="V24" s="346"/>
      <c r="W24" s="380"/>
      <c r="X24" s="144"/>
      <c r="Y24" s="144"/>
      <c r="Z24" s="144"/>
      <c r="AA24" s="64"/>
    </row>
    <row r="25" spans="2:55" ht="15" customHeight="1" x14ac:dyDescent="0.25">
      <c r="B25" s="68"/>
      <c r="C25" s="407" t="s">
        <v>1861</v>
      </c>
      <c r="D25" s="53"/>
      <c r="E25" s="328"/>
      <c r="F25" s="54"/>
      <c r="G25" s="46"/>
      <c r="H25" s="324"/>
      <c r="I25" s="325"/>
      <c r="J25" s="403"/>
      <c r="K25" s="10"/>
      <c r="N25" s="229" t="s">
        <v>118</v>
      </c>
      <c r="O25" s="98"/>
      <c r="P25" s="326"/>
      <c r="S25" s="62"/>
      <c r="T25" s="346"/>
      <c r="U25" s="380" t="s">
        <v>1871</v>
      </c>
      <c r="V25" s="346"/>
      <c r="W25" s="380"/>
      <c r="X25" s="144"/>
      <c r="Y25" s="144"/>
      <c r="Z25" s="144"/>
      <c r="AA25" s="64"/>
    </row>
    <row r="26" spans="2:55" ht="21.95" customHeight="1" x14ac:dyDescent="0.25">
      <c r="B26" s="68"/>
      <c r="C26" s="408"/>
      <c r="D26" s="53"/>
      <c r="E26" s="329"/>
      <c r="F26" s="45"/>
      <c r="G26" s="10" t="s">
        <v>9</v>
      </c>
      <c r="H26" s="452"/>
      <c r="I26" s="37" t="s">
        <v>6</v>
      </c>
      <c r="J26" s="184"/>
      <c r="M26" s="62"/>
      <c r="N26" s="215" t="s">
        <v>64</v>
      </c>
      <c r="P26" s="96"/>
      <c r="Q26" s="62"/>
      <c r="R26" s="62"/>
      <c r="S26" s="62"/>
      <c r="T26" s="346"/>
      <c r="U26" s="64" t="s">
        <v>1872</v>
      </c>
      <c r="V26" s="64"/>
      <c r="W26" s="64"/>
      <c r="X26" s="64"/>
      <c r="Y26" s="346"/>
      <c r="Z26" s="346"/>
      <c r="AA26" s="64"/>
      <c r="AG26" s="11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</row>
    <row r="27" spans="2:55" ht="21.95" customHeight="1" x14ac:dyDescent="0.25">
      <c r="B27" s="68"/>
      <c r="C27" s="408"/>
      <c r="D27" s="53"/>
      <c r="E27" s="329"/>
      <c r="F27" s="45"/>
      <c r="G27" s="10" t="s">
        <v>10</v>
      </c>
      <c r="H27" s="452"/>
      <c r="I27" s="37" t="s">
        <v>11</v>
      </c>
      <c r="J27" s="184"/>
      <c r="M27" s="62"/>
      <c r="N27" s="222" t="s">
        <v>63</v>
      </c>
      <c r="O27" s="236"/>
      <c r="P27" s="238"/>
      <c r="Q27" s="62"/>
      <c r="R27" s="62"/>
      <c r="S27" s="62"/>
      <c r="T27" s="346"/>
      <c r="U27" s="64" t="s">
        <v>1873</v>
      </c>
      <c r="V27" s="346"/>
      <c r="W27" s="381"/>
      <c r="X27" s="64"/>
      <c r="Y27" s="346"/>
      <c r="Z27" s="346"/>
      <c r="AA27" s="64"/>
      <c r="AG27" s="11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</row>
    <row r="28" spans="2:55" ht="21.95" customHeight="1" x14ac:dyDescent="0.25">
      <c r="B28" s="68"/>
      <c r="C28" s="111"/>
      <c r="D28" s="40"/>
      <c r="E28" s="329"/>
      <c r="F28" s="45"/>
      <c r="G28" s="10" t="s">
        <v>13</v>
      </c>
      <c r="H28" s="452"/>
      <c r="I28" s="37" t="s">
        <v>12</v>
      </c>
      <c r="J28" s="184"/>
      <c r="M28" s="62"/>
      <c r="P28" s="44"/>
      <c r="Q28" s="62"/>
      <c r="R28" s="62"/>
      <c r="S28" s="62"/>
      <c r="T28" s="346"/>
      <c r="U28" s="64"/>
      <c r="V28" s="346"/>
      <c r="W28" s="381"/>
      <c r="X28" s="64"/>
      <c r="Y28" s="346"/>
      <c r="Z28" s="346"/>
      <c r="AA28" s="64"/>
      <c r="AG28" s="11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</row>
    <row r="29" spans="2:55" ht="48.75" customHeight="1" x14ac:dyDescent="0.25">
      <c r="B29" s="68"/>
      <c r="C29" s="35"/>
      <c r="D29" s="62"/>
      <c r="E29" s="60" t="s">
        <v>1838</v>
      </c>
      <c r="G29" s="287"/>
      <c r="I29" s="287"/>
      <c r="J29" s="409"/>
      <c r="K29" s="10"/>
      <c r="M29" s="62"/>
      <c r="P29" s="44"/>
      <c r="Q29" s="62"/>
      <c r="R29" s="62"/>
      <c r="S29" s="62"/>
      <c r="T29" s="346"/>
      <c r="U29" s="64"/>
      <c r="V29" s="346"/>
      <c r="W29" s="381"/>
      <c r="X29" s="64"/>
      <c r="Y29" s="346"/>
      <c r="Z29" s="346"/>
      <c r="AA29" s="64"/>
      <c r="AG29" s="11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</row>
    <row r="30" spans="2:55" ht="21.95" customHeight="1" x14ac:dyDescent="0.25">
      <c r="B30" s="68"/>
      <c r="C30" s="35"/>
      <c r="D30" s="62"/>
      <c r="E30" s="58">
        <f>H26*H27*H28</f>
        <v>0</v>
      </c>
      <c r="F30" s="59"/>
      <c r="G30" s="287"/>
      <c r="I30" s="287"/>
      <c r="J30" s="409"/>
      <c r="K30" s="10"/>
      <c r="M30" s="62"/>
      <c r="P30" s="44"/>
      <c r="Q30" s="62"/>
      <c r="R30" s="62"/>
      <c r="S30" s="62"/>
      <c r="T30" s="346"/>
      <c r="U30" s="64"/>
      <c r="V30" s="346"/>
      <c r="W30" s="381"/>
      <c r="X30" s="64"/>
      <c r="Y30" s="346"/>
      <c r="Z30" s="346"/>
      <c r="AA30" s="64"/>
      <c r="AG30" s="11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</row>
    <row r="31" spans="2:55" x14ac:dyDescent="0.25">
      <c r="B31" s="62"/>
      <c r="C31" s="111"/>
      <c r="D31" s="59"/>
      <c r="E31" s="69"/>
      <c r="J31" s="184"/>
      <c r="K31" s="10"/>
      <c r="M31" s="62"/>
      <c r="Q31" s="186"/>
      <c r="R31" s="62"/>
      <c r="S31" s="62"/>
      <c r="T31" s="346"/>
      <c r="U31" s="64"/>
      <c r="V31" s="64"/>
      <c r="W31" s="64"/>
      <c r="X31" s="64"/>
      <c r="Y31" s="346"/>
      <c r="Z31" s="346"/>
      <c r="AA31" s="64"/>
      <c r="AG31" s="231"/>
      <c r="AK31" s="62"/>
      <c r="AL31" s="68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</row>
    <row r="32" spans="2:55" ht="21.95" customHeight="1" x14ac:dyDescent="0.25">
      <c r="B32" s="37"/>
      <c r="C32" s="410" t="s">
        <v>102</v>
      </c>
      <c r="D32" s="94"/>
      <c r="E32" s="94"/>
      <c r="H32" s="69"/>
      <c r="J32" s="184"/>
      <c r="K32" s="10"/>
      <c r="M32" s="62"/>
      <c r="Q32" s="180"/>
      <c r="R32" s="62"/>
      <c r="S32" s="62"/>
      <c r="T32" s="346"/>
      <c r="U32" s="64"/>
      <c r="V32" s="64"/>
      <c r="W32" s="64"/>
      <c r="X32" s="64"/>
      <c r="Y32" s="346"/>
      <c r="Z32" s="346"/>
      <c r="AA32" s="64"/>
      <c r="AG32" s="172"/>
      <c r="AK32" s="62"/>
      <c r="AL32" s="68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</row>
    <row r="33" spans="2:55" x14ac:dyDescent="0.25">
      <c r="B33" s="37"/>
      <c r="C33" s="405"/>
      <c r="D33" s="64"/>
      <c r="E33" s="64"/>
      <c r="H33" s="69"/>
      <c r="J33" s="184"/>
      <c r="K33" s="10"/>
      <c r="M33" s="62"/>
      <c r="Q33" s="180"/>
      <c r="R33" s="62"/>
      <c r="S33" s="62"/>
      <c r="T33" s="346"/>
      <c r="U33" s="64"/>
      <c r="V33" s="346"/>
      <c r="W33" s="381"/>
      <c r="X33" s="64"/>
      <c r="Y33" s="346"/>
      <c r="Z33" s="346"/>
      <c r="AA33" s="64"/>
      <c r="AG33" s="172"/>
      <c r="AK33" s="62"/>
      <c r="AL33" s="68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</row>
    <row r="34" spans="2:55" ht="21.95" customHeight="1" x14ac:dyDescent="0.25">
      <c r="B34" s="37"/>
      <c r="C34" s="35" t="s">
        <v>1825</v>
      </c>
      <c r="E34" s="453">
        <v>50</v>
      </c>
      <c r="F34" s="37" t="s">
        <v>22</v>
      </c>
      <c r="J34" s="184"/>
      <c r="K34" s="62"/>
      <c r="M34" s="62"/>
      <c r="Q34" s="91"/>
      <c r="R34" s="62"/>
      <c r="S34" s="62"/>
      <c r="T34" s="346"/>
      <c r="U34" s="64"/>
      <c r="V34" s="64"/>
      <c r="W34" s="64"/>
      <c r="X34" s="64"/>
      <c r="Y34" s="346"/>
      <c r="Z34" s="346"/>
      <c r="AA34" s="64"/>
      <c r="AG34" s="172"/>
      <c r="AK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</row>
    <row r="35" spans="2:55" ht="21.95" customHeight="1" x14ac:dyDescent="0.25">
      <c r="B35" s="37"/>
      <c r="C35" s="35" t="s">
        <v>1824</v>
      </c>
      <c r="D35" s="62"/>
      <c r="E35" s="453">
        <v>50</v>
      </c>
      <c r="F35" s="37" t="s">
        <v>21</v>
      </c>
      <c r="J35" s="184"/>
      <c r="K35" s="62"/>
      <c r="M35" s="62"/>
      <c r="Q35" s="91"/>
      <c r="R35" s="62"/>
      <c r="S35" s="62"/>
      <c r="T35" s="346"/>
      <c r="U35" s="64"/>
      <c r="V35" s="64"/>
      <c r="W35" s="64"/>
      <c r="X35" s="64"/>
      <c r="Y35" s="346"/>
      <c r="Z35" s="346"/>
      <c r="AA35" s="64"/>
      <c r="AG35" s="172"/>
      <c r="AK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</row>
    <row r="36" spans="2:55" x14ac:dyDescent="0.25">
      <c r="B36" s="37"/>
      <c r="C36" s="35"/>
      <c r="D36" s="62"/>
      <c r="E36" s="63"/>
      <c r="F36" s="64"/>
      <c r="G36" s="64"/>
      <c r="H36" s="65"/>
      <c r="J36" s="184"/>
      <c r="K36" s="62"/>
      <c r="M36" s="62"/>
      <c r="N36" s="44"/>
      <c r="Q36" s="91"/>
      <c r="R36" s="62"/>
      <c r="S36" s="62"/>
      <c r="T36" s="346"/>
      <c r="U36" s="384"/>
      <c r="V36" s="385"/>
      <c r="W36" s="386" t="str">
        <f>E18</f>
        <v>Trockner</v>
      </c>
      <c r="X36" s="385"/>
      <c r="Y36" s="387"/>
      <c r="Z36" s="346"/>
      <c r="AA36" s="64"/>
      <c r="AG36" s="172"/>
      <c r="AK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</row>
    <row r="37" spans="2:55" ht="33" customHeight="1" x14ac:dyDescent="0.25">
      <c r="B37" s="37"/>
      <c r="C37" s="35"/>
      <c r="D37" s="62"/>
      <c r="E37" s="60" t="s">
        <v>1839</v>
      </c>
      <c r="F37" s="64"/>
      <c r="G37" s="64"/>
      <c r="H37" s="65"/>
      <c r="J37" s="184"/>
      <c r="K37" s="62"/>
      <c r="M37" s="62"/>
      <c r="N37" s="44"/>
      <c r="Q37" s="91"/>
      <c r="R37" s="62"/>
      <c r="S37" s="62"/>
      <c r="T37" s="346"/>
      <c r="U37" s="388" t="s">
        <v>9</v>
      </c>
      <c r="V37" s="346"/>
      <c r="W37" s="395">
        <f>+H26</f>
        <v>0</v>
      </c>
      <c r="X37" s="64" t="s">
        <v>6</v>
      </c>
      <c r="Y37" s="389"/>
      <c r="Z37" s="346"/>
      <c r="AA37" s="64"/>
      <c r="AG37" s="172"/>
      <c r="AK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</row>
    <row r="38" spans="2:55" ht="21.95" customHeight="1" x14ac:dyDescent="0.25">
      <c r="B38" s="37"/>
      <c r="C38" s="35"/>
      <c r="D38" s="62"/>
      <c r="E38" s="66">
        <f>W42</f>
        <v>1200</v>
      </c>
      <c r="F38" s="64"/>
      <c r="G38" s="64"/>
      <c r="H38" s="65"/>
      <c r="J38" s="184"/>
      <c r="K38" s="62"/>
      <c r="M38" s="62"/>
      <c r="N38" s="44"/>
      <c r="Q38" s="91"/>
      <c r="R38" s="62"/>
      <c r="S38" s="62"/>
      <c r="T38" s="346"/>
      <c r="U38" s="388" t="s">
        <v>10</v>
      </c>
      <c r="V38" s="346"/>
      <c r="W38" s="395">
        <f>+H27</f>
        <v>0</v>
      </c>
      <c r="X38" s="64" t="s">
        <v>11</v>
      </c>
      <c r="Y38" s="389"/>
      <c r="Z38" s="346"/>
      <c r="AA38" s="64"/>
      <c r="AG38" s="172"/>
      <c r="AK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</row>
    <row r="39" spans="2:55" ht="21.95" customHeight="1" x14ac:dyDescent="0.25">
      <c r="B39" s="37"/>
      <c r="C39" s="35"/>
      <c r="D39" s="62"/>
      <c r="E39" s="67">
        <f>W43</f>
        <v>1200</v>
      </c>
      <c r="F39" s="64"/>
      <c r="G39" s="64"/>
      <c r="H39" s="65"/>
      <c r="J39" s="184"/>
      <c r="K39" s="62"/>
      <c r="M39" s="62"/>
      <c r="N39" s="44"/>
      <c r="Q39" s="91"/>
      <c r="R39" s="62"/>
      <c r="S39" s="62"/>
      <c r="T39" s="346"/>
      <c r="U39" s="388" t="s">
        <v>13</v>
      </c>
      <c r="V39" s="346"/>
      <c r="W39" s="395">
        <f>+H28</f>
        <v>0</v>
      </c>
      <c r="X39" s="64" t="s">
        <v>18</v>
      </c>
      <c r="Y39" s="389"/>
      <c r="Z39" s="346"/>
      <c r="AA39" s="64"/>
      <c r="AG39" s="172"/>
      <c r="AK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</row>
    <row r="40" spans="2:55" ht="21.95" customHeight="1" x14ac:dyDescent="0.25">
      <c r="B40" s="169"/>
      <c r="C40" s="35"/>
      <c r="D40" s="62"/>
      <c r="E40" s="64"/>
      <c r="G40" s="91"/>
      <c r="J40" s="184"/>
      <c r="K40" s="10"/>
      <c r="M40" s="62"/>
      <c r="O40" s="62"/>
      <c r="Q40" s="91"/>
      <c r="R40" s="62"/>
      <c r="S40" s="62"/>
      <c r="T40" s="346"/>
      <c r="U40" s="388" t="s">
        <v>14</v>
      </c>
      <c r="V40" s="346"/>
      <c r="W40" s="396">
        <f>+E34/100</f>
        <v>0.5</v>
      </c>
      <c r="X40" s="382" t="s">
        <v>28</v>
      </c>
      <c r="Y40" s="389"/>
      <c r="Z40" s="346"/>
      <c r="AA40" s="64"/>
      <c r="AG40" s="330"/>
      <c r="AK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</row>
    <row r="41" spans="2:55" ht="21.95" customHeight="1" x14ac:dyDescent="0.25">
      <c r="B41" s="169"/>
      <c r="C41" s="402" t="s">
        <v>1826</v>
      </c>
      <c r="D41" s="51"/>
      <c r="E41" s="51"/>
      <c r="G41" s="91"/>
      <c r="J41" s="184"/>
      <c r="K41" s="10"/>
      <c r="M41" s="62"/>
      <c r="N41" s="229" t="s">
        <v>119</v>
      </c>
      <c r="O41" s="98"/>
      <c r="P41" s="203"/>
      <c r="Q41" s="91"/>
      <c r="R41" s="62"/>
      <c r="S41" s="62"/>
      <c r="T41" s="346"/>
      <c r="U41" s="388" t="s">
        <v>15</v>
      </c>
      <c r="V41" s="64"/>
      <c r="W41" s="397">
        <f>IF(E24&gt;0,E24,W37*W38*W39)</f>
        <v>2400</v>
      </c>
      <c r="X41" s="64" t="s">
        <v>6</v>
      </c>
      <c r="Y41" s="389"/>
      <c r="Z41" s="346"/>
      <c r="AA41" s="64"/>
      <c r="AG41" s="330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</row>
    <row r="42" spans="2:55" x14ac:dyDescent="0.25">
      <c r="B42" s="169"/>
      <c r="C42" s="404"/>
      <c r="D42" s="64"/>
      <c r="E42" s="64"/>
      <c r="G42" s="91"/>
      <c r="J42" s="184"/>
      <c r="K42" s="10"/>
      <c r="M42" s="62"/>
      <c r="N42" s="220"/>
      <c r="P42" s="216">
        <v>0</v>
      </c>
      <c r="Q42" s="91"/>
      <c r="R42" s="62"/>
      <c r="S42" s="62"/>
      <c r="T42" s="346"/>
      <c r="U42" s="388" t="s">
        <v>16</v>
      </c>
      <c r="V42" s="64"/>
      <c r="W42" s="397">
        <f>W41*W40</f>
        <v>1200</v>
      </c>
      <c r="X42" s="64" t="s">
        <v>6</v>
      </c>
      <c r="Y42" s="389"/>
      <c r="Z42" s="346"/>
      <c r="AA42" s="64"/>
      <c r="AG42" s="330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</row>
    <row r="43" spans="2:55" ht="25.5" x14ac:dyDescent="0.25">
      <c r="B43" s="169"/>
      <c r="C43" s="411" t="s">
        <v>80</v>
      </c>
      <c r="D43" s="331"/>
      <c r="E43" s="331"/>
      <c r="G43" s="91"/>
      <c r="J43" s="184"/>
      <c r="K43" s="10"/>
      <c r="M43" s="62"/>
      <c r="N43" s="220"/>
      <c r="P43" s="216">
        <v>25</v>
      </c>
      <c r="Q43" s="91"/>
      <c r="R43" s="62"/>
      <c r="S43" s="62"/>
      <c r="T43" s="346"/>
      <c r="U43" s="388" t="s">
        <v>17</v>
      </c>
      <c r="V43" s="64"/>
      <c r="W43" s="397">
        <f>W41-W42</f>
        <v>1200</v>
      </c>
      <c r="X43" s="64" t="s">
        <v>6</v>
      </c>
      <c r="Y43" s="389"/>
      <c r="Z43" s="346"/>
      <c r="AA43" s="64"/>
      <c r="AG43" s="332"/>
      <c r="AK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</row>
    <row r="44" spans="2:55" ht="21.95" customHeight="1" x14ac:dyDescent="0.25">
      <c r="B44" s="169"/>
      <c r="C44" s="412" t="s">
        <v>65</v>
      </c>
      <c r="D44" s="68"/>
      <c r="E44" s="454" t="s">
        <v>64</v>
      </c>
      <c r="F44" s="91" t="s">
        <v>172</v>
      </c>
      <c r="J44" s="184"/>
      <c r="K44" s="10"/>
      <c r="M44" s="62"/>
      <c r="N44" s="220"/>
      <c r="P44" s="216">
        <v>50</v>
      </c>
      <c r="Q44" s="91"/>
      <c r="R44" s="62"/>
      <c r="S44" s="62"/>
      <c r="T44" s="346"/>
      <c r="U44" s="319" t="s">
        <v>26</v>
      </c>
      <c r="V44" s="64"/>
      <c r="W44" s="398">
        <f>+(E61*Last/100*W42)/1000</f>
        <v>72.733973302132796</v>
      </c>
      <c r="X44" s="64" t="s">
        <v>32</v>
      </c>
      <c r="Y44" s="389"/>
      <c r="Z44" s="346"/>
      <c r="AA44" s="64"/>
      <c r="AG44" s="332"/>
      <c r="AK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</row>
    <row r="45" spans="2:55" ht="21.95" customHeight="1" x14ac:dyDescent="0.25">
      <c r="B45" s="169"/>
      <c r="C45" s="35" t="str">
        <f>+IF($E$44="luftgekühlt / (Ab)Luft","Abkühlung der Abluft bis auf … °C (vgl. Hinweis in Broschüre!)","")</f>
        <v>Abkühlung der Abluft bis auf … °C (vgl. Hinweis in Broschüre!)</v>
      </c>
      <c r="E45" s="453">
        <v>70</v>
      </c>
      <c r="F45" s="86" t="str">
        <f>+IF($E$44="luftgekühlt / (Ab)Luft","°C","[dieses Feld ist im Fall von Wasserkühlung/(Prozess)wasser irrelevant]")</f>
        <v>°C</v>
      </c>
      <c r="G45" s="91"/>
      <c r="J45" s="184"/>
      <c r="K45" s="10"/>
      <c r="M45" s="62"/>
      <c r="N45" s="220"/>
      <c r="P45" s="216">
        <v>75</v>
      </c>
      <c r="Q45" s="91"/>
      <c r="R45" s="62"/>
      <c r="S45" s="62"/>
      <c r="T45" s="346"/>
      <c r="U45" s="319" t="s">
        <v>27</v>
      </c>
      <c r="V45" s="64"/>
      <c r="W45" s="398">
        <f>+E61*W43/1000</f>
        <v>145.46794660426559</v>
      </c>
      <c r="X45" s="64" t="s">
        <v>32</v>
      </c>
      <c r="Y45" s="389"/>
      <c r="Z45" s="346"/>
      <c r="AA45" s="64"/>
      <c r="AG45" s="231"/>
      <c r="AK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</row>
    <row r="46" spans="2:55" ht="15" customHeight="1" x14ac:dyDescent="0.25">
      <c r="B46" s="169"/>
      <c r="C46" s="35"/>
      <c r="E46" s="63"/>
      <c r="J46" s="184"/>
      <c r="M46" s="62"/>
      <c r="N46" s="333"/>
      <c r="O46" s="334"/>
      <c r="P46" s="335">
        <v>100</v>
      </c>
      <c r="Q46" s="91"/>
      <c r="R46" s="62"/>
      <c r="S46" s="62"/>
      <c r="T46" s="346"/>
      <c r="U46" s="388" t="s">
        <v>8</v>
      </c>
      <c r="V46" s="64"/>
      <c r="W46" s="399">
        <f>SUM(W44:W45)</f>
        <v>218.20191990639839</v>
      </c>
      <c r="X46" s="64" t="s">
        <v>32</v>
      </c>
      <c r="Y46" s="390"/>
      <c r="Z46" s="64"/>
      <c r="AA46" s="64"/>
      <c r="AG46" s="336"/>
      <c r="AK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</row>
    <row r="47" spans="2:55" ht="24.75" customHeight="1" x14ac:dyDescent="0.25">
      <c r="B47" s="169"/>
      <c r="C47" s="119" t="str">
        <f>IF(E44=N26,"Volumen- bzw. Massenstrom in m³/h oder kg/s","Massestrom in kg/s und Temperaturgefälle in °C")</f>
        <v>Volumen- bzw. Massenstrom in m³/h oder kg/s</v>
      </c>
      <c r="D47" s="94"/>
      <c r="E47" s="94"/>
      <c r="J47" s="184"/>
      <c r="M47" s="62"/>
      <c r="N47" s="62"/>
      <c r="O47" s="62"/>
      <c r="P47" s="62"/>
      <c r="Q47" s="62"/>
      <c r="R47" s="62"/>
      <c r="T47" s="346"/>
      <c r="U47" s="391"/>
      <c r="V47" s="392"/>
      <c r="W47" s="400">
        <f>W46*3.6</f>
        <v>785.52691166303418</v>
      </c>
      <c r="X47" s="393" t="s">
        <v>41</v>
      </c>
      <c r="Y47" s="394"/>
      <c r="Z47" s="64"/>
      <c r="AA47" s="64"/>
      <c r="AG47" s="336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</row>
    <row r="48" spans="2:55" ht="14.25" customHeight="1" x14ac:dyDescent="0.25">
      <c r="B48" s="169"/>
      <c r="C48" s="413" t="s">
        <v>1827</v>
      </c>
      <c r="D48" s="64"/>
      <c r="E48" s="64"/>
      <c r="F48" s="64"/>
      <c r="G48" s="499" t="str">
        <f>IF(E44=N26,U26,U27)</f>
        <v>ALTERNATIV können Sie hier den Volumenstrom eingeben!</v>
      </c>
      <c r="H48" s="499"/>
      <c r="I48" s="499"/>
      <c r="J48" s="500"/>
      <c r="M48" s="62"/>
      <c r="N48" s="62"/>
      <c r="O48" s="62"/>
      <c r="P48" s="62"/>
      <c r="Q48" s="62"/>
      <c r="R48" s="62"/>
      <c r="S48" s="62"/>
      <c r="T48" s="346"/>
      <c r="U48" s="346"/>
      <c r="V48" s="346"/>
      <c r="W48" s="383"/>
      <c r="X48" s="64"/>
      <c r="Y48" s="64"/>
      <c r="Z48" s="64"/>
      <c r="AA48" s="64"/>
      <c r="AG48" s="336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</row>
    <row r="49" spans="1:55" ht="28.5" customHeight="1" x14ac:dyDescent="0.25">
      <c r="B49" s="62"/>
      <c r="C49" s="111" t="str">
        <f>+IF($E$44="luftgekühlt / (Ab)Luft","Form des Abluftauslasses","")</f>
        <v>Form des Abluftauslasses</v>
      </c>
      <c r="E49" s="455" t="s">
        <v>1876</v>
      </c>
      <c r="F49" s="91" t="str">
        <f>+IF($E$44="luftgekühlt / (Ab)Luft","Dropdown Menü","[irreleveant]")</f>
        <v>Dropdown Menü</v>
      </c>
      <c r="G49" s="499"/>
      <c r="H49" s="499"/>
      <c r="I49" s="499"/>
      <c r="J49" s="500"/>
      <c r="R49" s="62"/>
      <c r="S49" s="62"/>
      <c r="T49" s="62"/>
      <c r="AA49" s="68"/>
      <c r="AG49" s="336"/>
      <c r="AL49" s="62"/>
    </row>
    <row r="50" spans="1:55" ht="28.5" customHeight="1" x14ac:dyDescent="0.25">
      <c r="B50" s="62"/>
      <c r="C50" s="35" t="str">
        <f>+IF($E$44=N26,IF(E49=V71,"Durchmesser des Abluftauslasses",N71),Q71)</f>
        <v>Durchmesser des Abluftauslasses</v>
      </c>
      <c r="D50" s="62"/>
      <c r="E50" s="453">
        <v>0.5</v>
      </c>
      <c r="F50" s="10" t="str">
        <f>+IF($E$44="luftgekühlt / (Ab)Luft",P71,U71)</f>
        <v>m</v>
      </c>
      <c r="J50" s="184"/>
      <c r="N50" s="43"/>
      <c r="O50" s="10"/>
      <c r="R50" s="62"/>
      <c r="S50" s="62"/>
      <c r="T50" s="62"/>
      <c r="AA50" s="68"/>
      <c r="AG50" s="336"/>
      <c r="AL50" s="62"/>
    </row>
    <row r="51" spans="1:55" ht="28.5" customHeight="1" x14ac:dyDescent="0.25">
      <c r="B51" s="62"/>
      <c r="C51" s="35" t="str">
        <f>+IF($E$44="luftgekühlt / (Ab)Luft",IF(E49=V71,"[irrelevant bei einem kreisförmigen Abluftauslass]",N69),Q69)</f>
        <v>[irrelevant bei einem kreisförmigen Abluftauslass]</v>
      </c>
      <c r="D51" s="62"/>
      <c r="E51" s="453"/>
      <c r="F51" s="10" t="str">
        <f>+IF($E$44="luftgekühlt / (Ab)Luft",IF(E49=V71,"",P69),U69)</f>
        <v/>
      </c>
      <c r="G51" s="118" t="str">
        <f>IF(E44=N26,"Volumenstrom","")</f>
        <v>Volumenstrom</v>
      </c>
      <c r="H51" s="457">
        <v>10000</v>
      </c>
      <c r="I51" s="504" t="str">
        <f>IF(E44="luftgekühlt / (Ab)Luft","m³/h","[dieses Feld ist im Fall von Wasserkühlung irrelevant]")</f>
        <v>m³/h</v>
      </c>
      <c r="J51" s="505"/>
      <c r="K51" s="444"/>
      <c r="N51" s="43"/>
      <c r="O51" s="10"/>
      <c r="R51" s="62"/>
      <c r="S51" s="62"/>
      <c r="T51" s="62"/>
      <c r="U51" s="68"/>
      <c r="V51" s="68"/>
      <c r="W51" s="201"/>
      <c r="X51" s="68"/>
      <c r="Y51" s="68"/>
      <c r="Z51" s="68"/>
      <c r="AA51" s="68"/>
      <c r="AG51" s="336"/>
      <c r="AL51" s="62"/>
    </row>
    <row r="52" spans="1:55" ht="28.5" customHeight="1" x14ac:dyDescent="0.25">
      <c r="B52" s="62"/>
      <c r="C52" s="35" t="str">
        <f>+IF($E$44="luftgekühlt / (Ab)Luft",N72,Q72)</f>
        <v>Luftgeschwindigkeit (wenn kein Wert, Annahme mit 6 m/s)</v>
      </c>
      <c r="D52" s="88"/>
      <c r="E52" s="456"/>
      <c r="F52" s="10" t="str">
        <f>+IF($E$44="luftgekühlt / (Ab)Luft",P72,U72)</f>
        <v>m/s</v>
      </c>
      <c r="G52" s="448" t="str">
        <f>IF(E44=N26,"Massestrom Abluft aus Volumenstrom","")</f>
        <v>Massestrom Abluft aus Volumenstrom</v>
      </c>
      <c r="H52" s="70">
        <f>IF(E44=N26,H51*O61/3600,"")</f>
        <v>2.6671790723187678</v>
      </c>
      <c r="I52" s="57" t="str">
        <f>+IF(E44="luftgekühlt / (Ab)Luft","kg/s","[dieses Feld ist im Fall von Wasserkühlung irrelevant]")</f>
        <v>kg/s</v>
      </c>
      <c r="J52" s="446"/>
      <c r="K52" s="444"/>
      <c r="N52" s="43"/>
      <c r="O52" s="10"/>
      <c r="R52" s="62"/>
      <c r="S52" s="62"/>
      <c r="T52" s="62"/>
      <c r="U52" s="68"/>
      <c r="V52" s="68"/>
      <c r="W52" s="201"/>
      <c r="X52" s="68"/>
      <c r="Y52" s="68"/>
      <c r="Z52" s="68"/>
      <c r="AA52" s="68"/>
      <c r="AG52" s="336"/>
      <c r="AL52" s="62"/>
    </row>
    <row r="53" spans="1:55" ht="28.5" customHeight="1" x14ac:dyDescent="0.25">
      <c r="B53" s="62"/>
      <c r="C53" s="415" t="str">
        <f>+IF($E$44="luftgekühlt / (Ab)Luft",N73,Q73)</f>
        <v xml:space="preserve">Massestrom Abluft </v>
      </c>
      <c r="D53" s="416" t="str">
        <f>IF(E44="wassergekühlt / (Prozess)Wasser","typische Spreizung: 15K","")</f>
        <v/>
      </c>
      <c r="E53" s="70">
        <f>+IF($E$44=N26,IF(OR(AND(E51=0,E50=0),E52=0),H52,IF(E49=V70,E51*E50*E52*O61,PI()/4*E50*E50*E52)),E50-E51)</f>
        <v>2.6671790723187678</v>
      </c>
      <c r="F53" s="57" t="str">
        <f>+IF($E$44="luftgekühlt / (Ab)Luft",P73,U73)</f>
        <v>kg/s</v>
      </c>
      <c r="G53" s="447" t="str">
        <f>+IF($E$44="luftgekühlt / (Ab)Luft","",N75)</f>
        <v/>
      </c>
      <c r="H53" s="458"/>
      <c r="I53" s="504" t="str">
        <f>+IF(E44="luftgekühlt / (Ab)Luft","[dieses Feld ist im Fall von Luftkühlung/Abluft irrelevant]","% der elektrischen Nennleistung")</f>
        <v>[dieses Feld ist im Fall von Luftkühlung/Abluft irrelevant]</v>
      </c>
      <c r="J53" s="505"/>
      <c r="L53" s="171" t="s">
        <v>1835</v>
      </c>
      <c r="N53" s="43"/>
      <c r="O53" s="10"/>
      <c r="R53" s="62"/>
      <c r="S53" s="62"/>
      <c r="T53" s="62"/>
      <c r="U53" s="68"/>
      <c r="V53" s="68"/>
      <c r="W53" s="68"/>
      <c r="X53" s="68"/>
      <c r="Y53" s="68"/>
      <c r="Z53" s="68"/>
      <c r="AA53" s="68"/>
      <c r="AG53" s="336"/>
      <c r="AL53" s="62"/>
    </row>
    <row r="54" spans="1:55" ht="32.25" customHeight="1" x14ac:dyDescent="0.25">
      <c r="B54" s="62"/>
      <c r="C54" s="111"/>
      <c r="G54" s="447" t="str">
        <f>IF(E44="wassergekühlt / (Prozess)Wasser","elektrische Nennleistung (lt. Typenschild, Datenblatt)","")</f>
        <v/>
      </c>
      <c r="H54" s="458"/>
      <c r="I54" s="504" t="str">
        <f>+IF(E44="luftgekühlt / (Ab)Luft","[dieses Feld ist im Fall von Luftkühlung/Abluft irrelevant]","kW")</f>
        <v>[dieses Feld ist im Fall von Luftkühlung/Abluft irrelevant]</v>
      </c>
      <c r="J54" s="505"/>
      <c r="N54" s="43"/>
      <c r="O54" s="10"/>
      <c r="R54" s="62"/>
      <c r="S54" s="62"/>
      <c r="T54" s="62"/>
      <c r="U54" s="68"/>
      <c r="V54" s="68"/>
      <c r="W54" s="68"/>
      <c r="X54" s="68"/>
      <c r="Y54" s="68"/>
      <c r="Z54" s="68"/>
      <c r="AA54" s="68"/>
      <c r="AG54" s="336"/>
      <c r="AL54" s="62"/>
    </row>
    <row r="55" spans="1:55" x14ac:dyDescent="0.25">
      <c r="B55" s="62"/>
      <c r="C55" s="111"/>
      <c r="H55" s="64"/>
      <c r="J55" s="414"/>
      <c r="N55" s="43"/>
      <c r="O55" s="10"/>
      <c r="R55" s="62"/>
      <c r="S55" s="62"/>
      <c r="T55" s="62"/>
      <c r="U55" s="68"/>
      <c r="V55" s="68"/>
      <c r="W55" s="68"/>
      <c r="X55" s="68"/>
      <c r="Y55" s="68"/>
      <c r="Z55" s="68"/>
      <c r="AA55" s="68"/>
      <c r="AG55" s="336"/>
      <c r="AL55" s="62"/>
    </row>
    <row r="56" spans="1:55" x14ac:dyDescent="0.25">
      <c r="B56" s="62"/>
      <c r="C56" s="111"/>
      <c r="H56" s="64"/>
      <c r="J56" s="414"/>
      <c r="N56" s="43"/>
      <c r="O56" s="10"/>
      <c r="R56" s="62"/>
      <c r="S56" s="62"/>
      <c r="T56" s="62"/>
      <c r="U56" s="68"/>
      <c r="V56" s="68"/>
      <c r="W56" s="68"/>
      <c r="X56" s="68"/>
      <c r="Y56" s="68"/>
      <c r="Z56" s="68"/>
      <c r="AA56" s="68"/>
      <c r="AG56" s="336"/>
      <c r="AL56" s="62"/>
    </row>
    <row r="57" spans="1:55" ht="9" customHeight="1" x14ac:dyDescent="0.25">
      <c r="B57" s="62"/>
      <c r="C57" s="111"/>
      <c r="H57" s="64"/>
      <c r="J57" s="414"/>
      <c r="N57" s="202" t="s">
        <v>37</v>
      </c>
      <c r="O57" s="204"/>
      <c r="P57" s="98"/>
      <c r="Q57" s="203"/>
      <c r="R57" s="62"/>
      <c r="S57" s="62"/>
      <c r="T57" s="62"/>
      <c r="U57" s="68"/>
      <c r="V57" s="68"/>
      <c r="W57" s="68"/>
      <c r="X57" s="68"/>
      <c r="Y57" s="68"/>
      <c r="Z57" s="68"/>
      <c r="AA57" s="68"/>
      <c r="AG57" s="336"/>
      <c r="AL57" s="62"/>
    </row>
    <row r="58" spans="1:55" ht="9.75" customHeight="1" x14ac:dyDescent="0.25">
      <c r="B58" s="62"/>
      <c r="C58" s="445"/>
      <c r="D58" s="374"/>
      <c r="E58" s="374"/>
      <c r="F58" s="374"/>
      <c r="J58" s="414"/>
      <c r="N58" s="215" t="s">
        <v>38</v>
      </c>
      <c r="O58" s="337">
        <v>1.01</v>
      </c>
      <c r="P58" s="121" t="s">
        <v>39</v>
      </c>
      <c r="Q58" s="216"/>
      <c r="R58" s="62" t="s">
        <v>169</v>
      </c>
      <c r="S58" s="62"/>
      <c r="T58" s="62"/>
      <c r="U58" s="68"/>
      <c r="V58" s="68"/>
      <c r="W58" s="68"/>
      <c r="X58" s="68"/>
      <c r="Y58" s="68"/>
      <c r="Z58" s="68"/>
      <c r="AA58" s="68"/>
      <c r="AG58" s="302"/>
      <c r="AL58" s="62"/>
    </row>
    <row r="59" spans="1:55" ht="6.75" customHeight="1" x14ac:dyDescent="0.25">
      <c r="B59" s="62"/>
      <c r="C59" s="111"/>
      <c r="D59" s="69"/>
      <c r="G59" s="90"/>
      <c r="J59" s="184"/>
      <c r="N59" s="222" t="s">
        <v>36</v>
      </c>
      <c r="O59" s="375">
        <v>4.18</v>
      </c>
      <c r="P59" s="376" t="s">
        <v>39</v>
      </c>
      <c r="Q59" s="225"/>
      <c r="R59" s="62"/>
      <c r="S59" s="62"/>
      <c r="T59" s="62"/>
      <c r="U59" s="68"/>
      <c r="V59" s="68"/>
      <c r="W59" s="68"/>
      <c r="X59" s="68"/>
      <c r="Y59" s="68"/>
      <c r="Z59" s="68"/>
      <c r="AA59" s="68"/>
      <c r="AG59" s="302"/>
      <c r="AL59" s="62"/>
    </row>
    <row r="60" spans="1:55" ht="21.95" customHeight="1" x14ac:dyDescent="0.25">
      <c r="B60" s="62"/>
      <c r="C60" s="417" t="s">
        <v>1828</v>
      </c>
      <c r="D60" s="41"/>
      <c r="E60" s="41"/>
      <c r="I60" s="62"/>
      <c r="J60" s="418"/>
      <c r="N60" s="202" t="s">
        <v>1842</v>
      </c>
      <c r="O60" s="338"/>
      <c r="P60" s="339"/>
      <c r="Q60" s="218"/>
      <c r="R60" s="202" t="s">
        <v>1844</v>
      </c>
      <c r="S60" s="259"/>
      <c r="T60" s="62"/>
      <c r="U60" s="68"/>
      <c r="V60" s="68"/>
      <c r="W60" s="68"/>
      <c r="X60" s="68"/>
      <c r="Y60" s="68"/>
      <c r="Z60" s="68"/>
      <c r="AA60" s="68"/>
      <c r="AG60" s="302"/>
      <c r="AL60" s="62"/>
    </row>
    <row r="61" spans="1:55" ht="21.95" customHeight="1" x14ac:dyDescent="0.25">
      <c r="B61" s="62"/>
      <c r="C61" s="113" t="s">
        <v>120</v>
      </c>
      <c r="D61" s="79"/>
      <c r="E61" s="442">
        <f>+IF($H$53="",IF($E$44="luftgekühlt / (Ab)Luft",IF($E$53=0,($H$52*$O$58*$O$64)*0.9,($E$53*$O$58*$O$64)*0.9),($E$52*$O$59*$E$53)*0.9),IF($E$44="luftgekühlt / (Ab)Luft",($H$52*$O$58*$O$64)*0.9,($H$53/100*$H$54)*0.9))</f>
        <v>121.223288836888</v>
      </c>
      <c r="F61" s="43" t="s">
        <v>4</v>
      </c>
      <c r="G61" s="71" t="s">
        <v>100</v>
      </c>
      <c r="J61" s="184"/>
      <c r="N61" s="340" t="s">
        <v>1843</v>
      </c>
      <c r="O61" s="37">
        <f>IF(OR($E$20=0,$E$45=0),Stoffwerte!B8,S84)</f>
        <v>0.96018446603475638</v>
      </c>
      <c r="P61" s="10" t="s">
        <v>31</v>
      </c>
      <c r="Q61" s="96"/>
      <c r="R61" s="377">
        <f>(E20-E45)/LN((E20+273.15)/(E45+273.15))-273.15</f>
        <v>94.433409910398325</v>
      </c>
      <c r="S61" s="264"/>
      <c r="T61" s="26"/>
      <c r="W61" s="91"/>
      <c r="X61" s="91"/>
      <c r="Y61" s="62"/>
      <c r="Z61" s="62"/>
      <c r="AL61" s="62"/>
    </row>
    <row r="62" spans="1:55" ht="21.95" customHeight="1" x14ac:dyDescent="0.25">
      <c r="B62" s="62"/>
      <c r="C62" s="419" t="s">
        <v>121</v>
      </c>
      <c r="D62" s="341"/>
      <c r="E62" s="73">
        <f>+W46</f>
        <v>218.20191990639839</v>
      </c>
      <c r="F62" s="44" t="s">
        <v>2</v>
      </c>
      <c r="G62" s="71" t="s">
        <v>101</v>
      </c>
      <c r="J62" s="184"/>
      <c r="L62" s="228"/>
      <c r="N62" s="222" t="s">
        <v>36</v>
      </c>
      <c r="O62" s="342">
        <f>IF(OR($E$51=0,$E$50=0),Stoffwerte!M53,Abwärmequellen!S101)</f>
        <v>997.04300000000001</v>
      </c>
      <c r="P62" s="224" t="s">
        <v>31</v>
      </c>
      <c r="Q62" s="238"/>
      <c r="R62" s="378">
        <f>IF($E$50-$E$51=0,0,($E$50-$E$51)/LN(($E$50+273.15)/($E$51+273.15))-273.15)</f>
        <v>0.24992379904637119</v>
      </c>
      <c r="S62" s="344"/>
      <c r="T62" s="62"/>
      <c r="W62" s="132"/>
      <c r="X62" s="91"/>
      <c r="AL62" s="62"/>
    </row>
    <row r="63" spans="1:55" s="62" customFormat="1" ht="15.75" thickBot="1" x14ac:dyDescent="0.3">
      <c r="A63" s="228"/>
      <c r="C63" s="420"/>
      <c r="D63" s="421"/>
      <c r="E63" s="422"/>
      <c r="F63" s="423"/>
      <c r="G63" s="424"/>
      <c r="H63" s="425"/>
      <c r="I63" s="425"/>
      <c r="J63" s="426"/>
      <c r="K63" s="64"/>
      <c r="L63" s="228"/>
      <c r="M63" s="37"/>
      <c r="N63" s="202" t="s">
        <v>117</v>
      </c>
      <c r="O63" s="98"/>
      <c r="P63" s="98"/>
      <c r="Q63" s="203"/>
      <c r="R63" s="37"/>
      <c r="U63" s="37"/>
      <c r="V63" s="37"/>
      <c r="W63" s="132"/>
      <c r="X63" s="91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</row>
    <row r="64" spans="1:55" s="62" customFormat="1" x14ac:dyDescent="0.25">
      <c r="A64" s="228"/>
      <c r="C64" s="74"/>
      <c r="D64" s="343"/>
      <c r="E64" s="75"/>
      <c r="F64" s="76"/>
      <c r="G64" s="77"/>
      <c r="H64" s="64"/>
      <c r="I64" s="64"/>
      <c r="J64" s="64"/>
      <c r="K64" s="64"/>
      <c r="L64" s="228"/>
      <c r="M64" s="37"/>
      <c r="N64" s="235" t="s">
        <v>40</v>
      </c>
      <c r="O64" s="236">
        <f>$E$20-$E$45</f>
        <v>50</v>
      </c>
      <c r="P64" s="345" t="s">
        <v>19</v>
      </c>
      <c r="Q64" s="225"/>
      <c r="R64" s="379">
        <f>0.02/4.19*100</f>
        <v>0.47732696897374693</v>
      </c>
      <c r="U64" s="37"/>
      <c r="V64" s="37"/>
      <c r="W64" s="132"/>
      <c r="X64" s="91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</row>
    <row r="65" spans="1:55" s="62" customFormat="1" x14ac:dyDescent="0.25">
      <c r="A65" s="228"/>
      <c r="B65" s="346"/>
      <c r="C65" s="265"/>
      <c r="E65" s="347"/>
      <c r="F65" s="37"/>
      <c r="G65" s="37"/>
      <c r="H65" s="37"/>
      <c r="I65" s="37"/>
      <c r="J65" s="37"/>
      <c r="K65" s="37"/>
      <c r="L65" s="228"/>
      <c r="M65" s="37"/>
      <c r="N65" s="37"/>
      <c r="O65" s="37"/>
      <c r="P65" s="83"/>
      <c r="Q65" s="10"/>
      <c r="R65" s="37"/>
      <c r="U65" s="37"/>
      <c r="V65" s="37"/>
      <c r="W65" s="132"/>
      <c r="X65" s="91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</row>
    <row r="66" spans="1:55" s="62" customFormat="1" ht="21.95" customHeight="1" x14ac:dyDescent="0.25">
      <c r="A66" s="228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37"/>
      <c r="N66" s="37"/>
      <c r="O66" s="37"/>
      <c r="P66" s="83"/>
      <c r="Q66" s="10"/>
      <c r="R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</row>
    <row r="67" spans="1:55" ht="21.95" customHeight="1" thickBot="1" x14ac:dyDescent="0.3">
      <c r="B67" s="64"/>
      <c r="C67" s="64"/>
      <c r="D67" s="64"/>
      <c r="E67" s="64"/>
      <c r="F67" s="64"/>
      <c r="G67" s="64"/>
      <c r="H67" s="64"/>
      <c r="I67" s="64"/>
      <c r="J67" s="64"/>
      <c r="K67" s="64"/>
      <c r="N67" s="229" t="s">
        <v>57</v>
      </c>
      <c r="O67" s="98"/>
      <c r="P67" s="203"/>
      <c r="Q67" s="202" t="s">
        <v>58</v>
      </c>
      <c r="R67" s="204"/>
      <c r="S67" s="204"/>
      <c r="T67" s="204"/>
      <c r="U67" s="218"/>
      <c r="V67" s="229" t="s">
        <v>1875</v>
      </c>
      <c r="AC67" s="62"/>
      <c r="AD67" s="62"/>
      <c r="AE67" s="62"/>
      <c r="AF67" s="62"/>
      <c r="AG67" s="62"/>
      <c r="AH67" s="62"/>
      <c r="AI67" s="62"/>
    </row>
    <row r="68" spans="1:55" ht="21.95" customHeight="1" x14ac:dyDescent="0.25">
      <c r="B68" s="63"/>
      <c r="C68" s="427"/>
      <c r="D68" s="212"/>
      <c r="E68" s="212"/>
      <c r="F68" s="428"/>
      <c r="G68" s="428"/>
      <c r="H68" s="428"/>
      <c r="I68" s="428"/>
      <c r="J68" s="429"/>
      <c r="K68" s="83"/>
      <c r="N68" s="230"/>
      <c r="P68" s="96"/>
      <c r="Q68" s="210"/>
      <c r="R68" s="10"/>
      <c r="S68" s="10"/>
      <c r="T68" s="10"/>
      <c r="U68" s="216"/>
      <c r="X68" s="68"/>
      <c r="Y68" s="68"/>
      <c r="Z68" s="68"/>
      <c r="AA68" s="68"/>
      <c r="AB68" s="68"/>
      <c r="AC68" s="169"/>
      <c r="AD68" s="169"/>
      <c r="AE68" s="169"/>
      <c r="AF68" s="169"/>
      <c r="AG68" s="169"/>
      <c r="AH68" s="169"/>
      <c r="AI68" s="169"/>
    </row>
    <row r="69" spans="1:55" ht="21.95" customHeight="1" x14ac:dyDescent="0.25">
      <c r="B69" s="64"/>
      <c r="C69" s="417" t="s">
        <v>77</v>
      </c>
      <c r="D69" s="41"/>
      <c r="E69" s="41"/>
      <c r="F69" s="83"/>
      <c r="G69" s="83"/>
      <c r="H69" s="83"/>
      <c r="I69" s="83"/>
      <c r="J69" s="266"/>
      <c r="K69" s="83"/>
      <c r="N69" s="215" t="s">
        <v>34</v>
      </c>
      <c r="P69" s="216" t="s">
        <v>30</v>
      </c>
      <c r="Q69" s="215" t="s">
        <v>153</v>
      </c>
      <c r="R69" s="10"/>
      <c r="S69" s="10"/>
      <c r="T69" s="10"/>
      <c r="U69" s="216" t="s">
        <v>3</v>
      </c>
      <c r="X69" s="68"/>
      <c r="Y69" s="68"/>
      <c r="Z69" s="68"/>
      <c r="AA69" s="68"/>
      <c r="AB69" s="68"/>
      <c r="AC69" s="169"/>
      <c r="AD69" s="68"/>
      <c r="AE69" s="232"/>
      <c r="AF69" s="232"/>
      <c r="AG69" s="232"/>
      <c r="AH69" s="232"/>
      <c r="AI69" s="169"/>
    </row>
    <row r="70" spans="1:55" x14ac:dyDescent="0.25">
      <c r="B70" s="62"/>
      <c r="C70" s="430"/>
      <c r="J70" s="184"/>
      <c r="N70" s="215"/>
      <c r="P70" s="216"/>
      <c r="Q70" s="215"/>
      <c r="R70" s="10"/>
      <c r="S70" s="10"/>
      <c r="T70" s="10"/>
      <c r="U70" s="216"/>
      <c r="V70" s="37" t="s">
        <v>1877</v>
      </c>
      <c r="X70" s="68"/>
      <c r="Y70" s="68"/>
      <c r="Z70" s="68"/>
      <c r="AA70" s="68"/>
      <c r="AB70" s="68"/>
      <c r="AC70" s="169"/>
      <c r="AD70" s="68"/>
      <c r="AE70" s="232"/>
      <c r="AF70" s="232"/>
      <c r="AG70" s="232"/>
      <c r="AH70" s="232"/>
      <c r="AI70" s="169"/>
    </row>
    <row r="71" spans="1:55" s="62" customFormat="1" ht="15" customHeight="1" x14ac:dyDescent="0.25">
      <c r="A71" s="228"/>
      <c r="C71" s="431" t="s">
        <v>59</v>
      </c>
      <c r="D71" s="348"/>
      <c r="E71" s="348"/>
      <c r="F71" s="348"/>
      <c r="G71" s="348"/>
      <c r="H71" s="348"/>
      <c r="I71" s="348"/>
      <c r="J71" s="432"/>
      <c r="K71" s="83"/>
      <c r="L71" s="228"/>
      <c r="M71" s="37"/>
      <c r="N71" s="215" t="s">
        <v>35</v>
      </c>
      <c r="P71" s="216" t="s">
        <v>30</v>
      </c>
      <c r="Q71" s="215" t="s">
        <v>152</v>
      </c>
      <c r="R71" s="10"/>
      <c r="S71" s="10"/>
      <c r="T71" s="10"/>
      <c r="U71" s="216" t="s">
        <v>3</v>
      </c>
      <c r="V71" s="37" t="s">
        <v>1876</v>
      </c>
      <c r="X71" s="169"/>
      <c r="Y71" s="68"/>
      <c r="Z71" s="68"/>
      <c r="AA71" s="169"/>
      <c r="AB71" s="68"/>
      <c r="AC71" s="169"/>
      <c r="AD71" s="232"/>
      <c r="AE71" s="232"/>
      <c r="AF71" s="232"/>
      <c r="AG71" s="232"/>
      <c r="AH71" s="232"/>
      <c r="AI71" s="169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</row>
    <row r="72" spans="1:55" s="62" customFormat="1" ht="21.95" customHeight="1" x14ac:dyDescent="0.25">
      <c r="A72" s="228"/>
      <c r="C72" s="433" t="s">
        <v>60</v>
      </c>
      <c r="D72" s="37"/>
      <c r="E72" s="457">
        <v>5</v>
      </c>
      <c r="F72" s="37" t="s">
        <v>0</v>
      </c>
      <c r="G72" s="348"/>
      <c r="H72" s="348"/>
      <c r="I72" s="348"/>
      <c r="J72" s="432"/>
      <c r="K72" s="83"/>
      <c r="L72" s="228"/>
      <c r="M72" s="37"/>
      <c r="N72" s="215" t="s">
        <v>1816</v>
      </c>
      <c r="O72" s="37"/>
      <c r="P72" s="96" t="s">
        <v>29</v>
      </c>
      <c r="Q72" s="215" t="s">
        <v>151</v>
      </c>
      <c r="R72" s="10"/>
      <c r="S72" s="10"/>
      <c r="T72" s="10"/>
      <c r="U72" s="216" t="s">
        <v>154</v>
      </c>
      <c r="X72" s="169"/>
      <c r="Y72" s="68"/>
      <c r="Z72" s="68"/>
      <c r="AA72" s="169"/>
      <c r="AB72" s="68"/>
      <c r="AC72" s="169"/>
      <c r="AD72" s="92"/>
      <c r="AE72" s="150"/>
      <c r="AF72" s="150"/>
      <c r="AG72" s="234"/>
      <c r="AH72" s="150"/>
      <c r="AI72" s="169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</row>
    <row r="73" spans="1:55" s="62" customFormat="1" ht="15.75" x14ac:dyDescent="0.25">
      <c r="A73" s="228"/>
      <c r="C73" s="434"/>
      <c r="D73" s="349"/>
      <c r="E73" s="349"/>
      <c r="F73" s="349"/>
      <c r="G73" s="349"/>
      <c r="H73" s="349"/>
      <c r="I73" s="349"/>
      <c r="J73" s="435"/>
      <c r="K73" s="83"/>
      <c r="L73" s="228"/>
      <c r="M73" s="37"/>
      <c r="N73" s="222" t="s">
        <v>166</v>
      </c>
      <c r="O73" s="236"/>
      <c r="P73" s="238" t="s">
        <v>33</v>
      </c>
      <c r="Q73" s="222" t="s">
        <v>24</v>
      </c>
      <c r="R73" s="224"/>
      <c r="S73" s="224"/>
      <c r="T73" s="224"/>
      <c r="U73" s="335" t="s">
        <v>19</v>
      </c>
      <c r="V73" s="37"/>
      <c r="W73" s="37"/>
      <c r="X73" s="68"/>
      <c r="Y73" s="68"/>
      <c r="Z73" s="68"/>
      <c r="AA73" s="68"/>
      <c r="AB73" s="68"/>
      <c r="AC73" s="169"/>
      <c r="AD73" s="68"/>
      <c r="AE73" s="150"/>
      <c r="AF73" s="150"/>
      <c r="AG73" s="234"/>
      <c r="AH73" s="150"/>
      <c r="AI73" s="169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</row>
    <row r="74" spans="1:55" s="62" customFormat="1" ht="45" x14ac:dyDescent="0.25">
      <c r="A74" s="228"/>
      <c r="C74" s="436" t="s">
        <v>85</v>
      </c>
      <c r="D74" s="68"/>
      <c r="E74" s="68"/>
      <c r="F74" s="68"/>
      <c r="G74" s="169"/>
      <c r="H74" s="169"/>
      <c r="I74" s="83"/>
      <c r="J74" s="266"/>
      <c r="K74" s="83"/>
      <c r="L74" s="228"/>
      <c r="M74" s="37"/>
      <c r="N74" s="10"/>
      <c r="O74" s="37"/>
      <c r="P74" s="37"/>
      <c r="Q74" s="10"/>
      <c r="R74" s="10"/>
      <c r="S74" s="10"/>
      <c r="T74" s="10"/>
      <c r="U74" s="83"/>
      <c r="V74" s="37"/>
      <c r="W74" s="37"/>
      <c r="X74" s="68"/>
      <c r="Y74" s="68"/>
      <c r="Z74" s="68"/>
      <c r="AA74" s="68"/>
      <c r="AB74" s="68"/>
      <c r="AC74" s="169"/>
      <c r="AD74" s="68"/>
      <c r="AE74" s="150"/>
      <c r="AF74" s="150"/>
      <c r="AG74" s="234"/>
      <c r="AH74" s="150"/>
      <c r="AI74" s="169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</row>
    <row r="75" spans="1:55" s="62" customFormat="1" ht="36" customHeight="1" x14ac:dyDescent="0.25">
      <c r="A75" s="228"/>
      <c r="B75" s="63"/>
      <c r="C75" s="502" t="str">
        <f>CONCATENATE("wirtschaftlich vertretbares Investvolumen (exkl. jährliche Betriebskosten) bei einem Preis für die Wärmebereitstellung von ",(ROUND(E77,0))," €/MWh")</f>
        <v>wirtschaftlich vertretbares Investvolumen (exkl. jährliche Betriebskosten) bei einem Preis für die Wärmebereitstellung von 180 €/MWh</v>
      </c>
      <c r="D75" s="503"/>
      <c r="E75" s="78">
        <f>E62*E72*E77</f>
        <v>196381.72791575853</v>
      </c>
      <c r="F75" s="45" t="s">
        <v>1830</v>
      </c>
      <c r="G75" s="172"/>
      <c r="H75" s="83"/>
      <c r="I75" s="83"/>
      <c r="J75" s="266"/>
      <c r="K75" s="68"/>
      <c r="L75" s="228"/>
      <c r="M75" s="37"/>
      <c r="N75" s="10" t="s">
        <v>1874</v>
      </c>
      <c r="P75" s="10"/>
      <c r="Q75" s="10"/>
      <c r="R75" s="10"/>
      <c r="S75" s="10"/>
      <c r="T75" s="10"/>
      <c r="U75" s="10"/>
      <c r="V75" s="37"/>
      <c r="W75" s="37"/>
      <c r="X75" s="68"/>
      <c r="Y75" s="68"/>
      <c r="Z75" s="68"/>
      <c r="AA75" s="68"/>
      <c r="AB75" s="68"/>
      <c r="AC75" s="169"/>
      <c r="AD75" s="68"/>
      <c r="AE75" s="150"/>
      <c r="AF75" s="150"/>
      <c r="AG75" s="234"/>
      <c r="AH75" s="150"/>
      <c r="AI75" s="169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</row>
    <row r="76" spans="1:55" s="62" customFormat="1" x14ac:dyDescent="0.25">
      <c r="A76" s="228"/>
      <c r="B76" s="169"/>
      <c r="C76" s="233"/>
      <c r="D76" s="81"/>
      <c r="E76" s="350"/>
      <c r="F76" s="350"/>
      <c r="G76" s="172"/>
      <c r="H76" s="83"/>
      <c r="I76" s="83"/>
      <c r="J76" s="266"/>
      <c r="K76" s="68"/>
      <c r="L76" s="228"/>
      <c r="M76" s="37"/>
      <c r="N76" s="37"/>
      <c r="O76" s="91"/>
      <c r="P76" s="37"/>
      <c r="Q76" s="37"/>
      <c r="R76" s="37"/>
      <c r="S76" s="242"/>
      <c r="T76" s="242"/>
      <c r="U76" s="242"/>
      <c r="V76" s="242"/>
      <c r="W76" s="242"/>
      <c r="X76" s="242"/>
      <c r="Y76" s="242"/>
      <c r="Z76" s="68"/>
      <c r="AA76" s="68"/>
      <c r="AB76" s="68"/>
      <c r="AC76" s="169"/>
      <c r="AD76" s="68"/>
      <c r="AE76" s="150"/>
      <c r="AF76" s="150"/>
      <c r="AG76" s="234"/>
      <c r="AH76" s="150"/>
      <c r="AI76" s="169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</row>
    <row r="77" spans="1:55" s="62" customFormat="1" ht="21.95" customHeight="1" x14ac:dyDescent="0.25">
      <c r="A77" s="228"/>
      <c r="B77" s="252"/>
      <c r="C77" s="433" t="s">
        <v>62</v>
      </c>
      <c r="D77" s="81"/>
      <c r="E77" s="459">
        <v>180</v>
      </c>
      <c r="F77" s="10" t="s">
        <v>56</v>
      </c>
      <c r="G77" s="449" t="str">
        <f>CONCATENATE(" entspricht ",(E77/10)," ct/kWh")</f>
        <v xml:space="preserve"> entspricht 18 ct/kWh</v>
      </c>
      <c r="H77" s="57"/>
      <c r="I77" s="68"/>
      <c r="J77" s="199"/>
      <c r="K77" s="83"/>
      <c r="L77" s="228"/>
      <c r="M77" s="37"/>
      <c r="N77" s="243" t="s">
        <v>86</v>
      </c>
      <c r="O77" s="244"/>
      <c r="P77" s="245">
        <f>IF(E81&gt;0,E81,E75)</f>
        <v>196381.72791575853</v>
      </c>
      <c r="Q77" s="37"/>
      <c r="R77" s="202" t="s">
        <v>1810</v>
      </c>
      <c r="S77" s="259"/>
      <c r="T77" s="242"/>
      <c r="U77" s="242"/>
      <c r="V77" s="242"/>
      <c r="W77" s="242"/>
      <c r="X77" s="242"/>
      <c r="Y77" s="242"/>
      <c r="Z77" s="68"/>
      <c r="AA77" s="68"/>
      <c r="AB77" s="68"/>
      <c r="AC77" s="169"/>
      <c r="AD77" s="169"/>
      <c r="AE77" s="169"/>
      <c r="AF77" s="169"/>
      <c r="AG77" s="169"/>
      <c r="AH77" s="169"/>
      <c r="AI77" s="169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</row>
    <row r="78" spans="1:55" s="62" customFormat="1" ht="18.75" x14ac:dyDescent="0.25">
      <c r="A78" s="228"/>
      <c r="B78" s="252"/>
      <c r="C78" s="407"/>
      <c r="D78" s="81"/>
      <c r="E78" s="82"/>
      <c r="F78" s="69"/>
      <c r="G78" s="351"/>
      <c r="H78" s="83"/>
      <c r="I78" s="68"/>
      <c r="J78" s="199"/>
      <c r="K78" s="83"/>
      <c r="L78" s="228"/>
      <c r="M78" s="37"/>
      <c r="N78" s="246" t="s">
        <v>87</v>
      </c>
      <c r="O78" s="68"/>
      <c r="P78" s="248">
        <f>$E$79</f>
        <v>0.02</v>
      </c>
      <c r="Q78" s="37"/>
      <c r="R78" s="28" t="s">
        <v>1804</v>
      </c>
      <c r="S78" s="29">
        <f>Abwärmequellen!R61</f>
        <v>94.433409910398325</v>
      </c>
      <c r="T78" s="37"/>
      <c r="U78" s="37"/>
      <c r="V78" s="37"/>
      <c r="W78" s="37"/>
      <c r="X78" s="68"/>
      <c r="Y78" s="68"/>
      <c r="Z78" s="68"/>
      <c r="AA78" s="68"/>
      <c r="AB78" s="68"/>
      <c r="AC78" s="169"/>
      <c r="AD78" s="169"/>
      <c r="AE78" s="169"/>
      <c r="AF78" s="169"/>
      <c r="AG78" s="169"/>
      <c r="AH78" s="169"/>
      <c r="AI78" s="169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</row>
    <row r="79" spans="1:55" s="62" customFormat="1" ht="21.95" customHeight="1" x14ac:dyDescent="0.25">
      <c r="A79" s="228"/>
      <c r="B79" s="252"/>
      <c r="C79" s="137" t="s">
        <v>164</v>
      </c>
      <c r="D79" s="37"/>
      <c r="E79" s="460">
        <v>0.02</v>
      </c>
      <c r="F79" s="37"/>
      <c r="G79" s="37"/>
      <c r="H79" s="37"/>
      <c r="I79" s="37"/>
      <c r="J79" s="184"/>
      <c r="K79" s="37"/>
      <c r="L79" s="228"/>
      <c r="M79" s="37"/>
      <c r="N79" s="246"/>
      <c r="O79" s="68"/>
      <c r="P79" s="248"/>
      <c r="Q79" s="37"/>
      <c r="R79" s="28" t="s">
        <v>1805</v>
      </c>
      <c r="S79" s="29">
        <f>INDEX(Stoffwerte!A3:A43,MATCH(S78,Stoffwerte!A3:A43,1))</f>
        <v>90</v>
      </c>
      <c r="T79" s="44"/>
      <c r="U79" s="37"/>
      <c r="V79" s="37"/>
      <c r="W79" s="37"/>
      <c r="X79" s="68"/>
      <c r="Y79" s="68"/>
      <c r="Z79" s="68"/>
      <c r="AA79" s="54"/>
      <c r="AB79" s="352"/>
      <c r="AC79" s="352"/>
      <c r="AD79" s="352"/>
      <c r="AE79" s="352"/>
      <c r="AF79" s="352"/>
      <c r="AG79" s="352"/>
      <c r="AH79" s="68"/>
      <c r="AI79" s="68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</row>
    <row r="80" spans="1:55" s="62" customFormat="1" ht="21.95" customHeight="1" x14ac:dyDescent="0.25">
      <c r="A80" s="228"/>
      <c r="B80" s="252"/>
      <c r="C80" s="437" t="str">
        <f>CONCATENATE("Die Investition in Höhe von ",IF(E81&gt;0,(ROUND(E81,0)),(ROUND(E75,0)))," Euro in die Abwärmenutzung würde sich mit")</f>
        <v>Die Investition in Höhe von 196382 Euro in die Abwärmenutzung würde sich mit</v>
      </c>
      <c r="D80" s="81"/>
      <c r="E80" s="84">
        <f>IFERROR(ROUND(P84*100,1),0)</f>
        <v>19.3</v>
      </c>
      <c r="F80" s="85" t="str">
        <f>CONCATENATE("% verzinsen (=Interner Zinsfuß, ",IF(E82&gt;0,E82,20)," Jahre angenommene Nutzungsdauer des Investitionsobjektes).")</f>
        <v>% verzinsen (=Interner Zinsfuß, 20 Jahre angenommene Nutzungsdauer des Investitionsobjektes).</v>
      </c>
      <c r="G80" s="351"/>
      <c r="H80" s="83"/>
      <c r="I80" s="68"/>
      <c r="J80" s="199"/>
      <c r="K80" s="83"/>
      <c r="L80" s="228"/>
      <c r="M80" s="37"/>
      <c r="N80" s="95" t="s">
        <v>88</v>
      </c>
      <c r="O80" s="68"/>
      <c r="P80" s="247">
        <f>E62*E77</f>
        <v>39276.345583151713</v>
      </c>
      <c r="Q80" s="37"/>
      <c r="R80" s="28" t="s">
        <v>1806</v>
      </c>
      <c r="S80" s="30">
        <f>INDEX(Stoffwerte!B3:B43,MATCH(S78,Stoffwerte!A3:A43,1))</f>
        <v>0.9718</v>
      </c>
      <c r="T80" s="10"/>
      <c r="U80" s="37"/>
      <c r="V80" s="37"/>
      <c r="W80" s="37"/>
      <c r="X80" s="68"/>
      <c r="Y80" s="68"/>
      <c r="Z80" s="68"/>
      <c r="AA80" s="352"/>
      <c r="AB80" s="352"/>
      <c r="AC80" s="352"/>
      <c r="AD80" s="352"/>
      <c r="AE80" s="352"/>
      <c r="AF80" s="352"/>
      <c r="AG80" s="352"/>
      <c r="AH80" s="68"/>
      <c r="AI80" s="68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</row>
    <row r="81" spans="1:55" s="62" customFormat="1" ht="21.95" customHeight="1" x14ac:dyDescent="0.25">
      <c r="A81" s="228"/>
      <c r="B81" s="252"/>
      <c r="C81" s="137" t="s">
        <v>145</v>
      </c>
      <c r="D81" s="81"/>
      <c r="E81" s="459"/>
      <c r="F81" s="10" t="s">
        <v>84</v>
      </c>
      <c r="G81" s="351"/>
      <c r="H81" s="83"/>
      <c r="I81" s="83"/>
      <c r="J81" s="266"/>
      <c r="K81" s="83"/>
      <c r="L81" s="228"/>
      <c r="M81" s="37"/>
      <c r="N81" s="95" t="s">
        <v>89</v>
      </c>
      <c r="O81" s="68"/>
      <c r="P81" s="247">
        <f>IF(E82&gt;0,E82,20)</f>
        <v>20</v>
      </c>
      <c r="Q81" s="231"/>
      <c r="R81" s="28" t="s">
        <v>1807</v>
      </c>
      <c r="S81" s="29">
        <f>INDEX(Stoffwerte!A3:A43,MATCH(S78,Stoffwerte!A3:A43,1)+1)</f>
        <v>95</v>
      </c>
      <c r="T81" s="37"/>
      <c r="U81" s="37"/>
      <c r="V81" s="68"/>
      <c r="W81" s="37"/>
      <c r="X81" s="68"/>
      <c r="Y81" s="68"/>
      <c r="Z81" s="68"/>
      <c r="AA81" s="352"/>
      <c r="AB81" s="352"/>
      <c r="AC81" s="352"/>
      <c r="AD81" s="352"/>
      <c r="AE81" s="352"/>
      <c r="AF81" s="352"/>
      <c r="AG81" s="352"/>
      <c r="AH81" s="68"/>
      <c r="AI81" s="68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</row>
    <row r="82" spans="1:55" ht="21.95" customHeight="1" x14ac:dyDescent="0.25">
      <c r="B82" s="252"/>
      <c r="C82" s="137" t="s">
        <v>155</v>
      </c>
      <c r="D82" s="81"/>
      <c r="E82" s="459"/>
      <c r="F82" s="10" t="s">
        <v>0</v>
      </c>
      <c r="G82" s="83"/>
      <c r="H82" s="83"/>
      <c r="I82" s="83"/>
      <c r="J82" s="266"/>
      <c r="K82" s="83"/>
      <c r="N82" s="95"/>
      <c r="O82" s="68"/>
      <c r="P82" s="253"/>
      <c r="Q82" s="5"/>
      <c r="R82" s="28" t="s">
        <v>1808</v>
      </c>
      <c r="S82" s="30">
        <f>INDEX(Stoffwerte!B3:B43,MATCH(S78,Stoffwerte!A3:A43,1)+1)</f>
        <v>0.9587</v>
      </c>
      <c r="V82" s="68"/>
      <c r="X82" s="68"/>
      <c r="Y82" s="68"/>
      <c r="Z82" s="68"/>
      <c r="AA82" s="352"/>
      <c r="AB82" s="352"/>
      <c r="AC82" s="352"/>
      <c r="AD82" s="352"/>
      <c r="AE82" s="352"/>
      <c r="AF82" s="352"/>
      <c r="AG82" s="352"/>
      <c r="AH82" s="68"/>
      <c r="AI82" s="68"/>
    </row>
    <row r="83" spans="1:55" ht="19.5" thickBot="1" x14ac:dyDescent="0.3">
      <c r="B83" s="252"/>
      <c r="C83" s="438"/>
      <c r="D83" s="439"/>
      <c r="E83" s="440"/>
      <c r="F83" s="441"/>
      <c r="G83" s="278"/>
      <c r="H83" s="278"/>
      <c r="I83" s="278"/>
      <c r="J83" s="279"/>
      <c r="K83" s="83"/>
      <c r="L83" s="171" t="s">
        <v>1836</v>
      </c>
      <c r="N83" s="95"/>
      <c r="O83" s="68"/>
      <c r="P83" s="253"/>
      <c r="Q83" s="5"/>
      <c r="R83" s="28"/>
      <c r="S83" s="29"/>
      <c r="T83" s="10"/>
      <c r="V83" s="68"/>
      <c r="X83" s="68"/>
      <c r="Y83" s="68"/>
      <c r="Z83" s="68"/>
      <c r="AA83" s="352"/>
      <c r="AB83" s="352"/>
      <c r="AC83" s="352"/>
      <c r="AD83" s="352"/>
      <c r="AE83" s="352"/>
      <c r="AF83" s="352"/>
      <c r="AG83" s="352"/>
      <c r="AH83" s="68"/>
      <c r="AI83" s="68"/>
    </row>
    <row r="84" spans="1:55" ht="18.75" x14ac:dyDescent="0.25">
      <c r="B84" s="252"/>
      <c r="C84" s="81"/>
      <c r="D84" s="81"/>
      <c r="E84" s="353"/>
      <c r="F84" s="69"/>
      <c r="G84" s="83"/>
      <c r="H84" s="83"/>
      <c r="I84" s="83"/>
      <c r="J84" s="83"/>
      <c r="K84" s="83"/>
      <c r="N84" s="95" t="s">
        <v>90</v>
      </c>
      <c r="O84" s="68"/>
      <c r="P84" s="254">
        <f>IRR(P93:P142)</f>
        <v>0.19300428826892801</v>
      </c>
      <c r="Q84" s="5"/>
      <c r="R84" s="31" t="s">
        <v>1809</v>
      </c>
      <c r="S84" s="32">
        <f>S80+(S78-S79)*(S82-S80)/(S81-S79)</f>
        <v>0.96018446603475638</v>
      </c>
      <c r="T84" s="44"/>
      <c r="X84" s="68"/>
      <c r="Y84" s="68"/>
      <c r="Z84" s="68"/>
      <c r="AA84" s="352"/>
      <c r="AB84" s="352"/>
      <c r="AC84" s="352"/>
      <c r="AD84" s="352"/>
      <c r="AE84" s="352"/>
      <c r="AF84" s="352"/>
      <c r="AG84" s="352"/>
      <c r="AH84" s="68"/>
      <c r="AI84" s="68"/>
    </row>
    <row r="85" spans="1:55" x14ac:dyDescent="0.25">
      <c r="C85" s="171"/>
      <c r="D85" s="171"/>
      <c r="E85" s="171"/>
      <c r="F85" s="171"/>
      <c r="G85" s="171"/>
      <c r="H85" s="171"/>
      <c r="I85" s="171"/>
      <c r="J85" s="171"/>
      <c r="K85" s="171"/>
      <c r="N85" s="220"/>
      <c r="P85" s="96"/>
      <c r="T85" s="10"/>
      <c r="V85" s="68"/>
      <c r="X85" s="68"/>
      <c r="Y85" s="68"/>
      <c r="Z85" s="68"/>
      <c r="AA85" s="352"/>
      <c r="AB85" s="352"/>
      <c r="AC85" s="352"/>
      <c r="AD85" s="352"/>
      <c r="AE85" s="352"/>
      <c r="AF85" s="352"/>
      <c r="AG85" s="352"/>
      <c r="AH85" s="68"/>
      <c r="AI85" s="68"/>
    </row>
    <row r="86" spans="1:55" ht="15" customHeight="1" x14ac:dyDescent="0.25">
      <c r="B86" s="64"/>
      <c r="C86" s="64"/>
      <c r="D86" s="64"/>
      <c r="E86" s="64"/>
      <c r="F86" s="64"/>
      <c r="G86" s="64"/>
      <c r="H86" s="64"/>
      <c r="I86" s="64"/>
      <c r="J86" s="64"/>
      <c r="K86" s="64"/>
      <c r="N86" s="220"/>
      <c r="P86" s="96"/>
      <c r="T86" s="10"/>
      <c r="V86" s="68"/>
      <c r="X86" s="68"/>
      <c r="Y86" s="68"/>
      <c r="Z86" s="68"/>
      <c r="AA86" s="352"/>
      <c r="AB86" s="352"/>
      <c r="AC86" s="352"/>
      <c r="AD86" s="352"/>
      <c r="AE86" s="352"/>
      <c r="AF86" s="352"/>
      <c r="AG86" s="352"/>
      <c r="AH86" s="68"/>
      <c r="AI86" s="68"/>
    </row>
    <row r="87" spans="1:55" ht="15" customHeight="1" x14ac:dyDescent="0.25">
      <c r="B87" s="64"/>
      <c r="C87" s="64"/>
      <c r="D87" s="64"/>
      <c r="E87" s="64"/>
      <c r="F87" s="64"/>
      <c r="G87" s="64"/>
      <c r="H87" s="64"/>
      <c r="I87" s="64"/>
      <c r="J87" s="64"/>
      <c r="K87" s="64"/>
      <c r="N87" s="220"/>
      <c r="P87" s="96"/>
      <c r="T87" s="10"/>
      <c r="V87" s="68"/>
      <c r="X87" s="68"/>
      <c r="Y87" s="68"/>
      <c r="Z87" s="68"/>
      <c r="AA87" s="352"/>
      <c r="AB87" s="352"/>
      <c r="AC87" s="352"/>
      <c r="AD87" s="352"/>
      <c r="AE87" s="352"/>
      <c r="AF87" s="352"/>
      <c r="AG87" s="352"/>
      <c r="AH87" s="68"/>
      <c r="AI87" s="68"/>
    </row>
    <row r="88" spans="1:55" ht="15" customHeight="1" x14ac:dyDescent="0.25">
      <c r="B88" s="64"/>
      <c r="C88" s="153" t="s">
        <v>1831</v>
      </c>
      <c r="D88" s="92"/>
      <c r="E88" s="68"/>
      <c r="F88" s="83"/>
      <c r="G88" s="83"/>
      <c r="H88" s="83"/>
      <c r="I88" s="83"/>
      <c r="J88" s="83"/>
      <c r="K88" s="83"/>
      <c r="N88" s="220"/>
      <c r="P88" s="96"/>
      <c r="T88" s="10"/>
      <c r="V88" s="68"/>
      <c r="X88" s="68"/>
      <c r="Y88" s="68"/>
      <c r="Z88" s="68"/>
      <c r="AA88" s="352"/>
      <c r="AB88" s="352"/>
      <c r="AC88" s="352"/>
      <c r="AD88" s="352"/>
      <c r="AE88" s="352"/>
      <c r="AF88" s="352"/>
      <c r="AG88" s="352"/>
      <c r="AH88" s="68"/>
      <c r="AI88" s="68"/>
    </row>
    <row r="89" spans="1:55" ht="21.95" customHeight="1" x14ac:dyDescent="0.25">
      <c r="B89" s="64"/>
      <c r="C89" s="48" t="s">
        <v>1832</v>
      </c>
      <c r="D89" s="92"/>
      <c r="E89" s="68"/>
      <c r="F89" s="83"/>
      <c r="G89" s="83"/>
      <c r="H89" s="83"/>
      <c r="I89" s="83"/>
      <c r="J89" s="83"/>
      <c r="K89" s="83"/>
      <c r="N89" s="220"/>
      <c r="P89" s="96"/>
      <c r="T89" s="10"/>
      <c r="V89" s="68"/>
      <c r="X89" s="68"/>
      <c r="Y89" s="68"/>
      <c r="Z89" s="68"/>
      <c r="AA89" s="352"/>
      <c r="AB89" s="352"/>
      <c r="AC89" s="352"/>
      <c r="AD89" s="352"/>
      <c r="AE89" s="352"/>
      <c r="AF89" s="352"/>
      <c r="AG89" s="352"/>
      <c r="AH89" s="68"/>
      <c r="AI89" s="68"/>
    </row>
    <row r="90" spans="1:55" ht="18.75" x14ac:dyDescent="0.25">
      <c r="B90" s="252"/>
      <c r="C90" s="47"/>
      <c r="D90" s="92"/>
      <c r="E90" s="68"/>
      <c r="F90" s="83"/>
      <c r="G90" s="83"/>
      <c r="H90" s="83"/>
      <c r="I90" s="83"/>
      <c r="J90" s="83"/>
      <c r="K90" s="83"/>
      <c r="N90" s="220"/>
      <c r="P90" s="96"/>
      <c r="T90" s="10"/>
      <c r="V90" s="68"/>
      <c r="X90" s="68"/>
      <c r="Y90" s="68"/>
      <c r="Z90" s="68"/>
      <c r="AA90" s="352"/>
      <c r="AB90" s="352"/>
      <c r="AC90" s="352"/>
      <c r="AD90" s="352"/>
      <c r="AE90" s="352"/>
      <c r="AF90" s="352"/>
      <c r="AG90" s="352"/>
      <c r="AH90" s="68"/>
      <c r="AI90" s="68"/>
    </row>
    <row r="91" spans="1:55" ht="15" customHeight="1" x14ac:dyDescent="0.25">
      <c r="B91" s="252"/>
      <c r="C91" s="501" t="s">
        <v>1833</v>
      </c>
      <c r="D91" s="68"/>
      <c r="E91" s="68"/>
      <c r="F91" s="83"/>
      <c r="G91" s="170"/>
      <c r="H91" s="170"/>
      <c r="I91" s="83"/>
      <c r="J91" s="83"/>
      <c r="K91" s="83"/>
      <c r="N91" s="220"/>
      <c r="P91" s="96"/>
      <c r="T91" s="10"/>
      <c r="V91" s="68"/>
      <c r="X91" s="68"/>
      <c r="Y91" s="68"/>
      <c r="Z91" s="68"/>
      <c r="AA91" s="352"/>
      <c r="AB91" s="352"/>
      <c r="AC91" s="352"/>
      <c r="AD91" s="352"/>
      <c r="AE91" s="352"/>
      <c r="AF91" s="352"/>
      <c r="AG91" s="352"/>
      <c r="AH91" s="68"/>
      <c r="AI91" s="68"/>
    </row>
    <row r="92" spans="1:55" ht="18.75" x14ac:dyDescent="0.25">
      <c r="B92" s="252"/>
      <c r="C92" s="501"/>
      <c r="D92" s="354"/>
      <c r="E92" s="64"/>
      <c r="F92" s="64"/>
      <c r="G92" s="64"/>
      <c r="H92" s="64"/>
      <c r="I92" s="64"/>
      <c r="J92" s="64"/>
      <c r="K92" s="64"/>
      <c r="N92" s="220"/>
      <c r="O92" s="68" t="s">
        <v>91</v>
      </c>
      <c r="P92" s="253" t="s">
        <v>90</v>
      </c>
      <c r="R92" s="265"/>
      <c r="V92" s="355"/>
      <c r="X92" s="68"/>
      <c r="Y92" s="68"/>
      <c r="Z92" s="68"/>
      <c r="AA92" s="352"/>
      <c r="AB92" s="352"/>
      <c r="AC92" s="352"/>
      <c r="AD92" s="352"/>
      <c r="AE92" s="352"/>
      <c r="AF92" s="352"/>
      <c r="AG92" s="352"/>
      <c r="AH92" s="68"/>
      <c r="AI92" s="68"/>
    </row>
    <row r="93" spans="1:55" ht="18.75" x14ac:dyDescent="0.25">
      <c r="B93" s="252"/>
      <c r="C93" s="501"/>
      <c r="D93" s="64"/>
      <c r="E93" s="64"/>
      <c r="F93" s="64"/>
      <c r="N93" s="230"/>
      <c r="O93" s="68">
        <v>1</v>
      </c>
      <c r="P93" s="247">
        <f>-P77</f>
        <v>-196381.72791575853</v>
      </c>
      <c r="R93" s="202" t="s">
        <v>1811</v>
      </c>
      <c r="S93" s="203"/>
      <c r="V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</row>
    <row r="94" spans="1:55" ht="18.75" x14ac:dyDescent="0.25">
      <c r="B94" s="356"/>
      <c r="C94" s="64"/>
      <c r="D94" s="64"/>
      <c r="E94" s="64"/>
      <c r="N94" s="230"/>
      <c r="O94" s="68">
        <v>2</v>
      </c>
      <c r="P94" s="253">
        <f>IF(O93&lt;$P$81,$P$80,"")</f>
        <v>39276.345583151713</v>
      </c>
      <c r="R94" s="210"/>
      <c r="S94" s="96"/>
      <c r="V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</row>
    <row r="95" spans="1:55" ht="18.75" x14ac:dyDescent="0.25">
      <c r="B95" s="357"/>
      <c r="C95" s="171"/>
      <c r="D95" s="171"/>
      <c r="E95" s="171"/>
      <c r="F95" s="171"/>
      <c r="G95" s="171"/>
      <c r="H95" s="171"/>
      <c r="I95" s="171"/>
      <c r="J95" s="171"/>
      <c r="K95" s="171"/>
      <c r="N95" s="220"/>
      <c r="O95" s="68">
        <v>3</v>
      </c>
      <c r="P95" s="253">
        <f t="shared" ref="P95:P142" si="0">IF(O94&lt;$P$81,$P$80,"")</f>
        <v>39276.345583151713</v>
      </c>
      <c r="R95" s="28" t="s">
        <v>1804</v>
      </c>
      <c r="S95" s="29">
        <f>Abwärmequellen!R62</f>
        <v>0.24992379904637119</v>
      </c>
      <c r="T95" s="10"/>
      <c r="V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</row>
    <row r="96" spans="1:55" ht="15" customHeight="1" x14ac:dyDescent="0.25">
      <c r="C96" s="171"/>
      <c r="D96" s="171"/>
      <c r="E96" s="171"/>
      <c r="F96" s="171"/>
      <c r="G96" s="171"/>
      <c r="H96" s="171"/>
      <c r="I96" s="171"/>
      <c r="J96" s="171"/>
      <c r="K96" s="171"/>
      <c r="N96" s="220"/>
      <c r="O96" s="68">
        <v>4</v>
      </c>
      <c r="P96" s="253">
        <f t="shared" si="0"/>
        <v>39276.345583151713</v>
      </c>
      <c r="R96" s="28" t="s">
        <v>1805</v>
      </c>
      <c r="S96" s="33">
        <f>INDEX(Stoffwerte!L3:L143,MATCH(S95,Stoffwerte!L3:L143,1))</f>
        <v>0</v>
      </c>
      <c r="T96" s="44"/>
      <c r="X96" s="68"/>
      <c r="Y96" s="68"/>
      <c r="Z96" s="68"/>
      <c r="AA96" s="242"/>
      <c r="AB96" s="68"/>
      <c r="AC96" s="68"/>
      <c r="AD96" s="68"/>
      <c r="AE96" s="68"/>
      <c r="AF96" s="68"/>
      <c r="AG96" s="68"/>
      <c r="AH96" s="68"/>
      <c r="AI96" s="68"/>
    </row>
    <row r="97" spans="3:35" ht="15" customHeight="1" x14ac:dyDescent="0.25">
      <c r="C97" s="171"/>
      <c r="D97" s="171"/>
      <c r="E97" s="171"/>
      <c r="F97" s="171"/>
      <c r="G97" s="171"/>
      <c r="H97" s="171"/>
      <c r="I97" s="171"/>
      <c r="J97" s="171"/>
      <c r="K97" s="171"/>
      <c r="N97" s="220"/>
      <c r="O97" s="68">
        <v>5</v>
      </c>
      <c r="P97" s="253">
        <f t="shared" si="0"/>
        <v>39276.345583151713</v>
      </c>
      <c r="R97" s="28" t="s">
        <v>1806</v>
      </c>
      <c r="S97" s="30">
        <f>INDEX(Stoffwerte!M3:M143,MATCH(S95,Stoffwerte!L3:L143,1))</f>
        <v>999.83999999999992</v>
      </c>
      <c r="V97" s="68"/>
      <c r="X97" s="68"/>
      <c r="Y97" s="68"/>
      <c r="Z97" s="68"/>
      <c r="AA97" s="242"/>
      <c r="AB97" s="68"/>
      <c r="AC97" s="68"/>
      <c r="AD97" s="68"/>
      <c r="AE97" s="68"/>
      <c r="AF97" s="68"/>
      <c r="AG97" s="68"/>
      <c r="AH97" s="68"/>
      <c r="AI97" s="68"/>
    </row>
    <row r="98" spans="3:35" ht="15" customHeight="1" x14ac:dyDescent="0.25">
      <c r="C98" s="171"/>
      <c r="D98" s="171"/>
      <c r="E98" s="171"/>
      <c r="F98" s="171"/>
      <c r="G98" s="171"/>
      <c r="H98" s="171"/>
      <c r="I98" s="171"/>
      <c r="J98" s="171"/>
      <c r="K98" s="171"/>
      <c r="N98" s="220"/>
      <c r="O98" s="68">
        <v>6</v>
      </c>
      <c r="P98" s="253">
        <f t="shared" si="0"/>
        <v>39276.345583151713</v>
      </c>
      <c r="R98" s="28" t="s">
        <v>1807</v>
      </c>
      <c r="S98" s="33">
        <f>INDEX(Stoffwerte!L3:L143,MATCH(S95,Stoffwerte!L3:L143,1)+1)</f>
        <v>0.5</v>
      </c>
      <c r="V98" s="68"/>
      <c r="AA98" s="4"/>
    </row>
    <row r="99" spans="3:35" ht="15" customHeight="1" x14ac:dyDescent="0.25">
      <c r="C99" s="171"/>
      <c r="D99" s="171"/>
      <c r="E99" s="171"/>
      <c r="F99" s="171"/>
      <c r="G99" s="171"/>
      <c r="H99" s="171"/>
      <c r="I99" s="171"/>
      <c r="J99" s="171"/>
      <c r="K99" s="171"/>
      <c r="N99" s="220"/>
      <c r="O99" s="68">
        <v>7</v>
      </c>
      <c r="P99" s="253">
        <f t="shared" si="0"/>
        <v>39276.345583151713</v>
      </c>
      <c r="R99" s="28" t="s">
        <v>1808</v>
      </c>
      <c r="S99" s="30">
        <f>INDEX(Stoffwerte!M3:M143,MATCH(S95,Stoffwerte!L3:L143,1)+1)</f>
        <v>999.87199999999996</v>
      </c>
      <c r="V99" s="68"/>
      <c r="AA99" s="4"/>
    </row>
    <row r="100" spans="3:35" ht="15" customHeight="1" x14ac:dyDescent="0.25">
      <c r="C100" s="171"/>
      <c r="D100" s="171"/>
      <c r="E100" s="171"/>
      <c r="F100" s="171"/>
      <c r="G100" s="171"/>
      <c r="H100" s="171"/>
      <c r="I100" s="171"/>
      <c r="J100" s="171"/>
      <c r="K100" s="171"/>
      <c r="N100" s="220"/>
      <c r="O100" s="68">
        <v>8</v>
      </c>
      <c r="P100" s="253">
        <f t="shared" si="0"/>
        <v>39276.345583151713</v>
      </c>
      <c r="R100" s="28"/>
      <c r="S100" s="29"/>
      <c r="V100" s="68"/>
    </row>
    <row r="101" spans="3:35" ht="15" customHeight="1" x14ac:dyDescent="0.25">
      <c r="C101" s="171"/>
      <c r="D101" s="171"/>
      <c r="E101" s="171"/>
      <c r="F101" s="171"/>
      <c r="G101" s="171"/>
      <c r="H101" s="171"/>
      <c r="I101" s="171"/>
      <c r="J101" s="171"/>
      <c r="K101" s="171"/>
      <c r="N101" s="220"/>
      <c r="O101" s="68">
        <v>9</v>
      </c>
      <c r="P101" s="253">
        <f t="shared" si="0"/>
        <v>39276.345583151713</v>
      </c>
      <c r="R101" s="31" t="s">
        <v>1809</v>
      </c>
      <c r="S101" s="32">
        <f>S97+(S95-S96)*(S99-S97)/(S98-S96)</f>
        <v>999.85599512313888</v>
      </c>
    </row>
    <row r="102" spans="3:35" ht="15" customHeight="1" x14ac:dyDescent="0.25">
      <c r="C102" s="171"/>
      <c r="D102" s="171"/>
      <c r="E102" s="171"/>
      <c r="F102" s="171"/>
      <c r="G102" s="171"/>
      <c r="H102" s="171"/>
      <c r="I102" s="171"/>
      <c r="J102" s="171"/>
      <c r="K102" s="171"/>
      <c r="N102" s="220"/>
      <c r="O102" s="68">
        <v>10</v>
      </c>
      <c r="P102" s="253">
        <f t="shared" si="0"/>
        <v>39276.345583151713</v>
      </c>
      <c r="R102" s="268"/>
      <c r="T102" s="44"/>
    </row>
    <row r="103" spans="3:35" ht="15" customHeight="1" x14ac:dyDescent="0.25">
      <c r="C103" s="171"/>
      <c r="D103" s="171"/>
      <c r="E103" s="171"/>
      <c r="F103" s="171"/>
      <c r="G103" s="171"/>
      <c r="H103" s="171"/>
      <c r="I103" s="171"/>
      <c r="J103" s="171"/>
      <c r="K103" s="171"/>
      <c r="N103" s="220"/>
      <c r="O103" s="68">
        <v>11</v>
      </c>
      <c r="P103" s="253">
        <f t="shared" si="0"/>
        <v>39276.345583151713</v>
      </c>
      <c r="R103" s="268"/>
    </row>
    <row r="104" spans="3:35" ht="15" customHeight="1" x14ac:dyDescent="0.25">
      <c r="C104" s="171"/>
      <c r="D104" s="171"/>
      <c r="E104" s="171"/>
      <c r="F104" s="171"/>
      <c r="G104" s="171"/>
      <c r="H104" s="171"/>
      <c r="I104" s="171"/>
      <c r="J104" s="171"/>
      <c r="K104" s="171"/>
      <c r="N104" s="220"/>
      <c r="O104" s="68">
        <v>12</v>
      </c>
      <c r="P104" s="253">
        <f t="shared" si="0"/>
        <v>39276.345583151713</v>
      </c>
    </row>
    <row r="105" spans="3:35" ht="15" customHeight="1" x14ac:dyDescent="0.25">
      <c r="C105" s="171"/>
      <c r="D105" s="171"/>
      <c r="E105" s="171"/>
      <c r="F105" s="171"/>
      <c r="G105" s="171"/>
      <c r="H105" s="171"/>
      <c r="I105" s="171"/>
      <c r="J105" s="171"/>
      <c r="K105" s="171"/>
      <c r="N105" s="220"/>
      <c r="O105" s="68">
        <v>13</v>
      </c>
      <c r="P105" s="253">
        <f t="shared" si="0"/>
        <v>39276.345583151713</v>
      </c>
    </row>
    <row r="106" spans="3:35" ht="15" customHeight="1" x14ac:dyDescent="0.25">
      <c r="C106" s="171"/>
      <c r="D106" s="171"/>
      <c r="E106" s="171"/>
      <c r="F106" s="171"/>
      <c r="G106" s="171"/>
      <c r="H106" s="171"/>
      <c r="I106" s="171"/>
      <c r="J106" s="171"/>
      <c r="K106" s="171"/>
      <c r="N106" s="220"/>
      <c r="O106" s="68">
        <v>14</v>
      </c>
      <c r="P106" s="253">
        <f t="shared" si="0"/>
        <v>39276.345583151713</v>
      </c>
    </row>
    <row r="107" spans="3:35" ht="15" customHeight="1" x14ac:dyDescent="0.25">
      <c r="C107" s="171"/>
      <c r="D107" s="171"/>
      <c r="E107" s="171"/>
      <c r="F107" s="171"/>
      <c r="G107" s="171"/>
      <c r="H107" s="171"/>
      <c r="I107" s="171"/>
      <c r="J107" s="171"/>
      <c r="K107" s="171"/>
      <c r="N107" s="220"/>
      <c r="O107" s="68">
        <v>15</v>
      </c>
      <c r="P107" s="253">
        <f t="shared" si="0"/>
        <v>39276.345583151713</v>
      </c>
    </row>
    <row r="108" spans="3:35" ht="15" customHeight="1" x14ac:dyDescent="0.25">
      <c r="C108" s="171"/>
      <c r="D108" s="171"/>
      <c r="E108" s="171"/>
      <c r="F108" s="171"/>
      <c r="G108" s="171"/>
      <c r="H108" s="171"/>
      <c r="I108" s="171"/>
      <c r="J108" s="171"/>
      <c r="K108" s="171"/>
      <c r="N108" s="220"/>
      <c r="O108" s="68">
        <v>16</v>
      </c>
      <c r="P108" s="253">
        <f t="shared" si="0"/>
        <v>39276.345583151713</v>
      </c>
    </row>
    <row r="109" spans="3:35" ht="15" customHeight="1" x14ac:dyDescent="0.25">
      <c r="C109" s="171"/>
      <c r="D109" s="171"/>
      <c r="E109" s="171"/>
      <c r="F109" s="171"/>
      <c r="G109" s="171"/>
      <c r="H109" s="171"/>
      <c r="I109" s="171"/>
      <c r="J109" s="171"/>
      <c r="K109" s="171"/>
      <c r="N109" s="220"/>
      <c r="O109" s="68">
        <v>17</v>
      </c>
      <c r="P109" s="253">
        <f t="shared" si="0"/>
        <v>39276.345583151713</v>
      </c>
    </row>
    <row r="110" spans="3:35" ht="15" customHeight="1" x14ac:dyDescent="0.25">
      <c r="C110" s="171"/>
      <c r="D110" s="171"/>
      <c r="E110" s="171"/>
      <c r="F110" s="171"/>
      <c r="G110" s="171"/>
      <c r="H110" s="171"/>
      <c r="I110" s="171"/>
      <c r="J110" s="171"/>
      <c r="K110" s="171"/>
      <c r="N110" s="220"/>
      <c r="O110" s="68">
        <v>18</v>
      </c>
      <c r="P110" s="253">
        <f t="shared" si="0"/>
        <v>39276.345583151713</v>
      </c>
    </row>
    <row r="111" spans="3:35" x14ac:dyDescent="0.25">
      <c r="C111" s="171"/>
      <c r="D111" s="171"/>
      <c r="E111" s="171"/>
      <c r="F111" s="171"/>
      <c r="G111" s="171"/>
      <c r="H111" s="171"/>
      <c r="I111" s="171"/>
      <c r="J111" s="171"/>
      <c r="K111" s="171"/>
      <c r="N111" s="220"/>
      <c r="O111" s="68">
        <v>19</v>
      </c>
      <c r="P111" s="253">
        <f t="shared" si="0"/>
        <v>39276.345583151713</v>
      </c>
    </row>
    <row r="112" spans="3:35" ht="15" customHeight="1" x14ac:dyDescent="0.25">
      <c r="C112" s="171"/>
      <c r="D112" s="171"/>
      <c r="E112" s="171"/>
      <c r="F112" s="171"/>
      <c r="G112" s="171"/>
      <c r="H112" s="171"/>
      <c r="I112" s="171"/>
      <c r="J112" s="171"/>
      <c r="K112" s="171"/>
      <c r="N112" s="220"/>
      <c r="O112" s="68">
        <v>20</v>
      </c>
      <c r="P112" s="253">
        <f t="shared" si="0"/>
        <v>39276.345583151713</v>
      </c>
    </row>
    <row r="113" spans="3:29" ht="15" customHeight="1" x14ac:dyDescent="0.25">
      <c r="C113" s="171"/>
      <c r="D113" s="171"/>
      <c r="E113" s="171"/>
      <c r="F113" s="171"/>
      <c r="G113" s="171"/>
      <c r="H113" s="171"/>
      <c r="I113" s="171"/>
      <c r="J113" s="171"/>
      <c r="K113" s="171"/>
      <c r="N113" s="220"/>
      <c r="O113" s="68">
        <v>21</v>
      </c>
      <c r="P113" s="253" t="str">
        <f t="shared" si="0"/>
        <v/>
      </c>
    </row>
    <row r="114" spans="3:29" ht="15" customHeight="1" x14ac:dyDescent="0.25">
      <c r="C114" s="171"/>
      <c r="D114" s="171"/>
      <c r="E114" s="171"/>
      <c r="F114" s="171"/>
      <c r="G114" s="171"/>
      <c r="H114" s="171"/>
      <c r="I114" s="171"/>
      <c r="J114" s="171"/>
      <c r="K114" s="171"/>
      <c r="N114" s="220"/>
      <c r="O114" s="68">
        <v>22</v>
      </c>
      <c r="P114" s="253" t="str">
        <f t="shared" si="0"/>
        <v/>
      </c>
      <c r="T114" s="284"/>
      <c r="Y114" s="15"/>
      <c r="Z114" s="15"/>
    </row>
    <row r="115" spans="3:29" ht="15" customHeight="1" x14ac:dyDescent="0.25">
      <c r="C115" s="171"/>
      <c r="D115" s="171"/>
      <c r="E115" s="171"/>
      <c r="F115" s="171"/>
      <c r="G115" s="171"/>
      <c r="H115" s="171"/>
      <c r="I115" s="171"/>
      <c r="J115" s="171"/>
      <c r="K115" s="171"/>
      <c r="N115" s="220"/>
      <c r="O115" s="68">
        <v>23</v>
      </c>
      <c r="P115" s="253" t="str">
        <f t="shared" si="0"/>
        <v/>
      </c>
      <c r="Y115" s="89"/>
    </row>
    <row r="116" spans="3:29" ht="18.75" customHeight="1" x14ac:dyDescent="0.25">
      <c r="C116" s="171"/>
      <c r="D116" s="171"/>
      <c r="E116" s="171"/>
      <c r="F116" s="171"/>
      <c r="G116" s="171"/>
      <c r="H116" s="171"/>
      <c r="I116" s="171"/>
      <c r="J116" s="171"/>
      <c r="K116" s="171"/>
      <c r="N116" s="220"/>
      <c r="O116" s="68">
        <v>24</v>
      </c>
      <c r="P116" s="253" t="str">
        <f t="shared" si="0"/>
        <v/>
      </c>
      <c r="Q116" s="285"/>
      <c r="R116" s="285"/>
    </row>
    <row r="117" spans="3:29" ht="15" customHeight="1" x14ac:dyDescent="0.25">
      <c r="C117" s="171"/>
      <c r="D117" s="171"/>
      <c r="E117" s="171"/>
      <c r="F117" s="171"/>
      <c r="G117" s="171"/>
      <c r="H117" s="171"/>
      <c r="I117" s="171"/>
      <c r="J117" s="171"/>
      <c r="K117" s="171"/>
      <c r="N117" s="283"/>
      <c r="O117" s="68">
        <v>25</v>
      </c>
      <c r="P117" s="253" t="str">
        <f t="shared" si="0"/>
        <v/>
      </c>
      <c r="Q117" s="285"/>
      <c r="R117" s="285"/>
      <c r="V117" s="286"/>
      <c r="W117" s="44"/>
      <c r="X117" s="44"/>
      <c r="Z117" s="15"/>
      <c r="AA117" s="15"/>
      <c r="AB117" s="15"/>
      <c r="AC117" s="89"/>
    </row>
    <row r="118" spans="3:29" ht="15" customHeight="1" x14ac:dyDescent="0.25">
      <c r="C118" s="171"/>
      <c r="D118" s="171"/>
      <c r="E118" s="171"/>
      <c r="F118" s="171"/>
      <c r="G118" s="171"/>
      <c r="H118" s="171"/>
      <c r="I118" s="171"/>
      <c r="J118" s="171"/>
      <c r="K118" s="171"/>
      <c r="N118" s="220"/>
      <c r="O118" s="68">
        <v>26</v>
      </c>
      <c r="P118" s="253" t="str">
        <f t="shared" si="0"/>
        <v/>
      </c>
      <c r="Q118" s="285"/>
      <c r="R118" s="285"/>
      <c r="V118" s="286"/>
      <c r="W118" s="287"/>
      <c r="X118" s="44"/>
    </row>
    <row r="119" spans="3:29" ht="15" customHeight="1" x14ac:dyDescent="0.25">
      <c r="C119" s="171"/>
      <c r="D119" s="171"/>
      <c r="E119" s="171"/>
      <c r="F119" s="171"/>
      <c r="G119" s="171"/>
      <c r="H119" s="171"/>
      <c r="I119" s="171"/>
      <c r="J119" s="171"/>
      <c r="K119" s="171"/>
      <c r="N119" s="220"/>
      <c r="O119" s="68">
        <v>27</v>
      </c>
      <c r="P119" s="253" t="str">
        <f t="shared" si="0"/>
        <v/>
      </c>
      <c r="Q119" s="285"/>
      <c r="R119" s="285"/>
      <c r="V119" s="5"/>
      <c r="Z119" s="288"/>
    </row>
    <row r="120" spans="3:29" ht="15" customHeight="1" x14ac:dyDescent="0.25">
      <c r="C120" s="171"/>
      <c r="D120" s="171"/>
      <c r="E120" s="171"/>
      <c r="F120" s="171"/>
      <c r="G120" s="171"/>
      <c r="H120" s="171"/>
      <c r="I120" s="171"/>
      <c r="J120" s="171"/>
      <c r="K120" s="171"/>
      <c r="N120" s="220"/>
      <c r="O120" s="68">
        <v>28</v>
      </c>
      <c r="P120" s="253" t="str">
        <f t="shared" si="0"/>
        <v/>
      </c>
      <c r="Q120" s="285"/>
      <c r="R120" s="285"/>
      <c r="V120" s="5"/>
      <c r="Z120" s="288"/>
    </row>
    <row r="121" spans="3:29" ht="18.75" customHeight="1" x14ac:dyDescent="0.25">
      <c r="C121" s="171"/>
      <c r="D121" s="171"/>
      <c r="E121" s="171"/>
      <c r="F121" s="171"/>
      <c r="G121" s="171"/>
      <c r="H121" s="171"/>
      <c r="I121" s="171"/>
      <c r="J121" s="171"/>
      <c r="K121" s="171"/>
      <c r="N121" s="220"/>
      <c r="O121" s="68">
        <v>29</v>
      </c>
      <c r="P121" s="253" t="str">
        <f t="shared" si="0"/>
        <v/>
      </c>
      <c r="Q121" s="285"/>
      <c r="R121" s="285"/>
      <c r="U121" s="5"/>
      <c r="Z121" s="288"/>
    </row>
    <row r="122" spans="3:29" ht="15" customHeight="1" x14ac:dyDescent="0.25">
      <c r="C122" s="171"/>
      <c r="D122" s="171"/>
      <c r="E122" s="171"/>
      <c r="F122" s="171"/>
      <c r="G122" s="171"/>
      <c r="H122" s="171"/>
      <c r="I122" s="171"/>
      <c r="J122" s="171"/>
      <c r="K122" s="171"/>
      <c r="N122" s="220"/>
      <c r="O122" s="68">
        <v>30</v>
      </c>
      <c r="P122" s="253" t="str">
        <f t="shared" si="0"/>
        <v/>
      </c>
      <c r="Q122" s="285"/>
      <c r="R122" s="285"/>
      <c r="V122" s="5"/>
      <c r="W122" s="5"/>
      <c r="Z122" s="288"/>
      <c r="AC122" s="288"/>
    </row>
    <row r="123" spans="3:29" ht="18.75" customHeight="1" x14ac:dyDescent="0.25">
      <c r="C123" s="171"/>
      <c r="D123" s="171"/>
      <c r="E123" s="171"/>
      <c r="F123" s="171"/>
      <c r="G123" s="171"/>
      <c r="H123" s="171"/>
      <c r="I123" s="171"/>
      <c r="J123" s="171"/>
      <c r="K123" s="171"/>
      <c r="N123" s="220"/>
      <c r="O123" s="68">
        <v>31</v>
      </c>
      <c r="P123" s="253" t="str">
        <f t="shared" si="0"/>
        <v/>
      </c>
      <c r="Q123" s="285"/>
      <c r="R123" s="285"/>
      <c r="V123" s="5"/>
      <c r="W123" s="289"/>
      <c r="X123" s="285"/>
      <c r="Y123" s="290"/>
      <c r="Z123" s="290"/>
      <c r="AC123" s="288"/>
    </row>
    <row r="124" spans="3:29" ht="15" customHeight="1" x14ac:dyDescent="0.25">
      <c r="C124" s="171"/>
      <c r="D124" s="171"/>
      <c r="E124" s="171"/>
      <c r="F124" s="171"/>
      <c r="G124" s="171"/>
      <c r="H124" s="171"/>
      <c r="I124" s="171"/>
      <c r="J124" s="171"/>
      <c r="K124" s="171"/>
      <c r="N124" s="220"/>
      <c r="O124" s="68">
        <v>32</v>
      </c>
      <c r="P124" s="253" t="str">
        <f t="shared" si="0"/>
        <v/>
      </c>
      <c r="Q124" s="285"/>
      <c r="R124" s="285"/>
      <c r="V124" s="5"/>
      <c r="W124" s="291"/>
      <c r="X124" s="285"/>
      <c r="Y124" s="15"/>
      <c r="Z124" s="15"/>
      <c r="AC124" s="288"/>
    </row>
    <row r="125" spans="3:29" ht="15" customHeight="1" x14ac:dyDescent="0.25">
      <c r="C125" s="171"/>
      <c r="D125" s="171"/>
      <c r="E125" s="171"/>
      <c r="F125" s="171"/>
      <c r="G125" s="171"/>
      <c r="H125" s="171"/>
      <c r="I125" s="171"/>
      <c r="J125" s="171"/>
      <c r="K125" s="171"/>
      <c r="N125" s="220"/>
      <c r="O125" s="68">
        <v>33</v>
      </c>
      <c r="P125" s="253" t="str">
        <f t="shared" si="0"/>
        <v/>
      </c>
      <c r="Q125" s="285"/>
      <c r="R125" s="285"/>
      <c r="V125" s="5"/>
      <c r="W125" s="5"/>
      <c r="Y125" s="15"/>
      <c r="Z125" s="15"/>
      <c r="AC125" s="288"/>
    </row>
    <row r="126" spans="3:29" ht="15" customHeight="1" x14ac:dyDescent="0.25">
      <c r="C126" s="171"/>
      <c r="D126" s="171"/>
      <c r="E126" s="171"/>
      <c r="F126" s="171"/>
      <c r="G126" s="171"/>
      <c r="H126" s="171"/>
      <c r="I126" s="171"/>
      <c r="J126" s="171"/>
      <c r="K126" s="171"/>
      <c r="N126" s="220"/>
      <c r="O126" s="68">
        <v>34</v>
      </c>
      <c r="P126" s="253" t="str">
        <f t="shared" si="0"/>
        <v/>
      </c>
      <c r="Q126" s="285"/>
      <c r="R126" s="285"/>
      <c r="V126" s="5"/>
      <c r="W126" s="291"/>
      <c r="Y126" s="290"/>
      <c r="Z126" s="290"/>
      <c r="AC126" s="292"/>
    </row>
    <row r="127" spans="3:29" ht="15" customHeight="1" x14ac:dyDescent="0.25">
      <c r="C127" s="171"/>
      <c r="D127" s="171"/>
      <c r="E127" s="171"/>
      <c r="F127" s="171"/>
      <c r="G127" s="171"/>
      <c r="H127" s="171"/>
      <c r="I127" s="171"/>
      <c r="J127" s="171"/>
      <c r="K127" s="171"/>
      <c r="N127" s="220"/>
      <c r="O127" s="68">
        <v>35</v>
      </c>
      <c r="P127" s="253" t="str">
        <f t="shared" si="0"/>
        <v/>
      </c>
      <c r="Q127" s="285"/>
      <c r="R127" s="285"/>
      <c r="U127" s="44"/>
      <c r="V127" s="5"/>
      <c r="W127" s="293"/>
      <c r="X127" s="285"/>
      <c r="Y127" s="15"/>
      <c r="Z127" s="15"/>
      <c r="AC127" s="15"/>
    </row>
    <row r="128" spans="3:29" ht="15" customHeight="1" x14ac:dyDescent="0.25">
      <c r="C128" s="171"/>
      <c r="D128" s="171"/>
      <c r="E128" s="171"/>
      <c r="F128" s="171"/>
      <c r="G128" s="171"/>
      <c r="H128" s="171"/>
      <c r="I128" s="171"/>
      <c r="J128" s="171"/>
      <c r="K128" s="171"/>
      <c r="N128" s="220"/>
      <c r="O128" s="68">
        <v>36</v>
      </c>
      <c r="P128" s="253" t="str">
        <f t="shared" si="0"/>
        <v/>
      </c>
      <c r="Q128" s="285"/>
      <c r="R128" s="285"/>
      <c r="V128" s="286"/>
      <c r="W128" s="294"/>
      <c r="Y128" s="15"/>
      <c r="Z128" s="15"/>
      <c r="AC128" s="288"/>
    </row>
    <row r="129" spans="3:29" ht="15" customHeight="1" x14ac:dyDescent="0.25">
      <c r="C129" s="171"/>
      <c r="D129" s="171"/>
      <c r="E129" s="171"/>
      <c r="F129" s="171"/>
      <c r="G129" s="171"/>
      <c r="H129" s="171"/>
      <c r="I129" s="171"/>
      <c r="J129" s="171"/>
      <c r="K129" s="171"/>
      <c r="N129" s="220"/>
      <c r="O129" s="68">
        <v>37</v>
      </c>
      <c r="P129" s="253" t="str">
        <f t="shared" si="0"/>
        <v/>
      </c>
      <c r="Y129" s="15"/>
      <c r="Z129" s="15"/>
      <c r="AC129" s="15"/>
    </row>
    <row r="130" spans="3:29" ht="15" customHeight="1" x14ac:dyDescent="0.25">
      <c r="C130" s="171"/>
      <c r="D130" s="171"/>
      <c r="E130" s="171"/>
      <c r="F130" s="171"/>
      <c r="G130" s="171"/>
      <c r="H130" s="171"/>
      <c r="I130" s="171"/>
      <c r="J130" s="171"/>
      <c r="K130" s="171"/>
      <c r="N130" s="220"/>
      <c r="O130" s="68">
        <v>38</v>
      </c>
      <c r="P130" s="253" t="str">
        <f t="shared" si="0"/>
        <v/>
      </c>
      <c r="Q130" s="296"/>
      <c r="R130" s="44"/>
      <c r="W130" s="285"/>
      <c r="Y130" s="15"/>
      <c r="Z130" s="15"/>
      <c r="AA130" s="15"/>
      <c r="AB130" s="15"/>
      <c r="AC130" s="15"/>
    </row>
    <row r="131" spans="3:29" ht="15" customHeight="1" x14ac:dyDescent="0.25">
      <c r="C131" s="171"/>
      <c r="D131" s="171"/>
      <c r="E131" s="171"/>
      <c r="F131" s="171"/>
      <c r="G131" s="171"/>
      <c r="H131" s="171"/>
      <c r="I131" s="171"/>
      <c r="J131" s="171"/>
      <c r="K131" s="171"/>
      <c r="N131" s="220"/>
      <c r="O131" s="68">
        <v>39</v>
      </c>
      <c r="P131" s="253" t="str">
        <f t="shared" si="0"/>
        <v/>
      </c>
      <c r="Q131" s="297"/>
      <c r="R131" s="44"/>
      <c r="W131" s="285"/>
      <c r="Y131" s="298"/>
      <c r="Z131" s="298"/>
      <c r="AA131" s="15"/>
      <c r="AB131" s="15"/>
      <c r="AC131" s="15"/>
    </row>
    <row r="132" spans="3:29" ht="15" customHeight="1" x14ac:dyDescent="0.25">
      <c r="C132" s="171"/>
      <c r="D132" s="171"/>
      <c r="E132" s="171"/>
      <c r="F132" s="171"/>
      <c r="G132" s="171"/>
      <c r="H132" s="171"/>
      <c r="I132" s="171"/>
      <c r="J132" s="171"/>
      <c r="K132" s="171"/>
      <c r="N132" s="220"/>
      <c r="O132" s="68">
        <v>40</v>
      </c>
      <c r="P132" s="253" t="str">
        <f t="shared" si="0"/>
        <v/>
      </c>
      <c r="W132" s="285"/>
      <c r="Y132" s="15"/>
      <c r="Z132" s="15"/>
      <c r="AA132" s="15"/>
      <c r="AB132" s="15"/>
      <c r="AC132" s="15"/>
    </row>
    <row r="133" spans="3:29" ht="15" customHeight="1" x14ac:dyDescent="0.25">
      <c r="C133" s="171"/>
      <c r="D133" s="171"/>
      <c r="E133" s="171"/>
      <c r="F133" s="171"/>
      <c r="G133" s="171"/>
      <c r="H133" s="171"/>
      <c r="I133" s="171"/>
      <c r="J133" s="171"/>
      <c r="K133" s="171"/>
      <c r="N133" s="230"/>
      <c r="O133" s="68">
        <v>41</v>
      </c>
      <c r="P133" s="253" t="str">
        <f t="shared" si="0"/>
        <v/>
      </c>
      <c r="W133" s="285"/>
      <c r="Y133" s="15"/>
      <c r="Z133" s="15"/>
      <c r="AA133" s="15"/>
      <c r="AB133" s="15"/>
      <c r="AC133" s="15"/>
    </row>
    <row r="134" spans="3:29" ht="15" customHeight="1" x14ac:dyDescent="0.25">
      <c r="C134" s="171"/>
      <c r="D134" s="171"/>
      <c r="E134" s="171"/>
      <c r="F134" s="171"/>
      <c r="G134" s="171"/>
      <c r="H134" s="171"/>
      <c r="I134" s="171"/>
      <c r="J134" s="171"/>
      <c r="K134" s="171"/>
      <c r="N134" s="230"/>
      <c r="O134" s="68">
        <v>42</v>
      </c>
      <c r="P134" s="253" t="str">
        <f t="shared" si="0"/>
        <v/>
      </c>
      <c r="W134" s="285"/>
      <c r="Y134" s="15"/>
      <c r="Z134" s="15"/>
      <c r="AA134" s="298"/>
      <c r="AB134" s="298"/>
      <c r="AC134" s="15"/>
    </row>
    <row r="135" spans="3:29" ht="15" customHeight="1" x14ac:dyDescent="0.25">
      <c r="C135" s="171"/>
      <c r="D135" s="171"/>
      <c r="E135" s="171"/>
      <c r="F135" s="171"/>
      <c r="G135" s="171"/>
      <c r="H135" s="171"/>
      <c r="I135" s="171"/>
      <c r="J135" s="171"/>
      <c r="K135" s="171"/>
      <c r="N135" s="220"/>
      <c r="O135" s="68">
        <v>43</v>
      </c>
      <c r="P135" s="253" t="str">
        <f t="shared" si="0"/>
        <v/>
      </c>
      <c r="W135" s="285"/>
      <c r="Y135" s="15"/>
      <c r="Z135" s="15"/>
      <c r="AA135" s="15"/>
      <c r="AB135" s="15"/>
      <c r="AC135" s="15"/>
    </row>
    <row r="136" spans="3:29" ht="15" customHeight="1" x14ac:dyDescent="0.25">
      <c r="C136" s="171"/>
      <c r="D136" s="171"/>
      <c r="E136" s="171"/>
      <c r="F136" s="171"/>
      <c r="G136" s="171"/>
      <c r="H136" s="171"/>
      <c r="I136" s="171"/>
      <c r="J136" s="171"/>
      <c r="K136" s="171"/>
      <c r="N136" s="220"/>
      <c r="O136" s="68">
        <v>44</v>
      </c>
      <c r="P136" s="253" t="str">
        <f t="shared" si="0"/>
        <v/>
      </c>
      <c r="Y136" s="15"/>
      <c r="Z136" s="15"/>
      <c r="AA136" s="15"/>
      <c r="AB136" s="15"/>
      <c r="AC136" s="15"/>
    </row>
    <row r="137" spans="3:29" ht="15" customHeight="1" x14ac:dyDescent="0.25">
      <c r="C137" s="171"/>
      <c r="D137" s="171"/>
      <c r="E137" s="171"/>
      <c r="F137" s="171"/>
      <c r="G137" s="171"/>
      <c r="H137" s="171"/>
      <c r="I137" s="171"/>
      <c r="J137" s="171"/>
      <c r="K137" s="171"/>
      <c r="N137" s="220"/>
      <c r="O137" s="68">
        <v>45</v>
      </c>
      <c r="P137" s="253" t="str">
        <f t="shared" si="0"/>
        <v/>
      </c>
      <c r="Y137" s="15"/>
      <c r="Z137" s="15"/>
      <c r="AA137" s="15"/>
      <c r="AB137" s="15"/>
      <c r="AC137" s="15"/>
    </row>
    <row r="138" spans="3:29" ht="15" customHeight="1" x14ac:dyDescent="0.25">
      <c r="C138" s="171"/>
      <c r="D138" s="171"/>
      <c r="E138" s="171"/>
      <c r="F138" s="171"/>
      <c r="G138" s="171"/>
      <c r="H138" s="171"/>
      <c r="I138" s="171"/>
      <c r="J138" s="171"/>
      <c r="K138" s="171"/>
      <c r="N138" s="220"/>
      <c r="O138" s="68">
        <v>46</v>
      </c>
      <c r="P138" s="253" t="str">
        <f t="shared" si="0"/>
        <v/>
      </c>
      <c r="V138" s="44"/>
      <c r="W138" s="297"/>
      <c r="X138" s="44"/>
      <c r="AA138" s="15"/>
      <c r="AB138" s="15"/>
      <c r="AC138" s="15"/>
    </row>
    <row r="139" spans="3:29" ht="15" customHeight="1" x14ac:dyDescent="0.25">
      <c r="C139" s="171"/>
      <c r="D139" s="171"/>
      <c r="E139" s="171"/>
      <c r="F139" s="171"/>
      <c r="G139" s="171"/>
      <c r="H139" s="171"/>
      <c r="I139" s="171"/>
      <c r="J139" s="171"/>
      <c r="K139" s="171"/>
      <c r="N139" s="220"/>
      <c r="O139" s="68">
        <v>47</v>
      </c>
      <c r="P139" s="253" t="str">
        <f t="shared" si="0"/>
        <v/>
      </c>
      <c r="AA139" s="15"/>
      <c r="AB139" s="15"/>
      <c r="AC139" s="15"/>
    </row>
    <row r="140" spans="3:29" ht="15" customHeight="1" x14ac:dyDescent="0.25">
      <c r="C140" s="171"/>
      <c r="D140" s="171"/>
      <c r="E140" s="171"/>
      <c r="F140" s="171"/>
      <c r="G140" s="171"/>
      <c r="H140" s="171"/>
      <c r="I140" s="171"/>
      <c r="J140" s="171"/>
      <c r="K140" s="171"/>
      <c r="N140" s="220"/>
      <c r="O140" s="68">
        <v>48</v>
      </c>
      <c r="P140" s="253" t="str">
        <f t="shared" si="0"/>
        <v/>
      </c>
      <c r="AA140" s="15"/>
      <c r="AB140" s="15"/>
    </row>
    <row r="141" spans="3:29" ht="15" customHeight="1" x14ac:dyDescent="0.25">
      <c r="C141" s="171"/>
      <c r="D141" s="171"/>
      <c r="E141" s="171"/>
      <c r="F141" s="171"/>
      <c r="G141" s="171"/>
      <c r="H141" s="171"/>
      <c r="I141" s="171"/>
      <c r="J141" s="171"/>
      <c r="K141" s="171"/>
      <c r="N141" s="299"/>
      <c r="O141" s="54">
        <v>49</v>
      </c>
      <c r="P141" s="253" t="str">
        <f t="shared" si="0"/>
        <v/>
      </c>
    </row>
    <row r="142" spans="3:29" ht="15" customHeight="1" x14ac:dyDescent="0.25">
      <c r="C142" s="171"/>
      <c r="D142" s="171"/>
      <c r="E142" s="171"/>
      <c r="F142" s="171"/>
      <c r="G142" s="171"/>
      <c r="H142" s="171"/>
      <c r="I142" s="171"/>
      <c r="J142" s="171"/>
      <c r="K142" s="171"/>
      <c r="N142" s="220"/>
      <c r="O142" s="68">
        <v>50</v>
      </c>
      <c r="P142" s="253" t="str">
        <f t="shared" si="0"/>
        <v/>
      </c>
    </row>
    <row r="143" spans="3:29" ht="15" customHeight="1" x14ac:dyDescent="0.25">
      <c r="C143" s="171"/>
      <c r="D143" s="171"/>
      <c r="E143" s="171"/>
      <c r="F143" s="171"/>
      <c r="G143" s="171"/>
      <c r="H143" s="171"/>
      <c r="I143" s="171"/>
      <c r="J143" s="171"/>
      <c r="K143" s="171"/>
      <c r="N143" s="222"/>
      <c r="O143" s="236"/>
      <c r="P143" s="238"/>
    </row>
    <row r="144" spans="3:29" ht="15" customHeight="1" x14ac:dyDescent="0.25">
      <c r="C144" s="171"/>
      <c r="D144" s="171"/>
      <c r="E144" s="171"/>
      <c r="F144" s="171"/>
      <c r="G144" s="171"/>
      <c r="H144" s="171"/>
      <c r="I144" s="171"/>
      <c r="J144" s="171"/>
      <c r="K144" s="171"/>
      <c r="N144" s="10"/>
      <c r="P144" s="68" t="str">
        <f>IF(O141&lt;$P$81,$P$80,"")</f>
        <v/>
      </c>
    </row>
    <row r="145" spans="3:14" ht="15" customHeight="1" x14ac:dyDescent="0.25">
      <c r="C145" s="171"/>
      <c r="D145" s="171"/>
      <c r="E145" s="171"/>
      <c r="F145" s="171"/>
      <c r="G145" s="171"/>
      <c r="H145" s="171"/>
      <c r="I145" s="171"/>
      <c r="J145" s="171"/>
      <c r="K145" s="171"/>
      <c r="N145" s="10"/>
    </row>
    <row r="146" spans="3:14" ht="15" customHeight="1" x14ac:dyDescent="0.25">
      <c r="C146" s="171"/>
      <c r="D146" s="171"/>
      <c r="E146" s="171"/>
      <c r="F146" s="171"/>
      <c r="G146" s="171"/>
      <c r="H146" s="171"/>
      <c r="I146" s="171"/>
      <c r="J146" s="171"/>
      <c r="K146" s="171"/>
      <c r="N146" s="10"/>
    </row>
    <row r="147" spans="3:14" ht="15" customHeight="1" x14ac:dyDescent="0.25">
      <c r="C147" s="171"/>
      <c r="D147" s="171"/>
      <c r="E147" s="171"/>
      <c r="F147" s="171"/>
      <c r="G147" s="171"/>
      <c r="H147" s="171"/>
      <c r="I147" s="171"/>
      <c r="J147" s="171"/>
      <c r="K147" s="171"/>
    </row>
    <row r="148" spans="3:14" ht="15" customHeight="1" x14ac:dyDescent="0.25">
      <c r="C148" s="171"/>
      <c r="D148" s="171"/>
      <c r="E148" s="171"/>
      <c r="F148" s="171"/>
      <c r="G148" s="171"/>
      <c r="H148" s="171"/>
      <c r="I148" s="171"/>
      <c r="J148" s="171"/>
      <c r="K148" s="171"/>
    </row>
    <row r="149" spans="3:14" ht="15" customHeight="1" x14ac:dyDescent="0.25">
      <c r="C149" s="171"/>
      <c r="D149" s="171"/>
      <c r="E149" s="171"/>
      <c r="F149" s="171"/>
      <c r="G149" s="171"/>
      <c r="H149" s="171"/>
      <c r="I149" s="171"/>
      <c r="J149" s="171"/>
      <c r="K149" s="171"/>
    </row>
    <row r="150" spans="3:14" ht="15" customHeight="1" x14ac:dyDescent="0.25">
      <c r="C150" s="171"/>
      <c r="D150" s="171"/>
      <c r="E150" s="171"/>
      <c r="F150" s="171"/>
      <c r="G150" s="171"/>
      <c r="H150" s="171"/>
      <c r="I150" s="171"/>
      <c r="J150" s="171"/>
      <c r="K150" s="171"/>
    </row>
    <row r="151" spans="3:14" ht="15" customHeight="1" x14ac:dyDescent="0.25">
      <c r="C151" s="171"/>
      <c r="D151" s="171"/>
      <c r="E151" s="171"/>
      <c r="F151" s="171"/>
      <c r="G151" s="171"/>
      <c r="H151" s="171"/>
      <c r="I151" s="171"/>
      <c r="J151" s="171"/>
      <c r="K151" s="171"/>
    </row>
    <row r="152" spans="3:14" ht="15" customHeight="1" x14ac:dyDescent="0.25">
      <c r="C152" s="171"/>
      <c r="D152" s="171"/>
      <c r="E152" s="171"/>
      <c r="F152" s="171"/>
      <c r="G152" s="171"/>
      <c r="H152" s="171"/>
      <c r="I152" s="171"/>
      <c r="J152" s="171"/>
      <c r="K152" s="171"/>
    </row>
    <row r="153" spans="3:14" ht="15" customHeight="1" x14ac:dyDescent="0.25">
      <c r="C153" s="171"/>
      <c r="D153" s="171"/>
      <c r="E153" s="171"/>
      <c r="F153" s="171"/>
      <c r="G153" s="171"/>
      <c r="H153" s="171"/>
      <c r="I153" s="171"/>
      <c r="J153" s="171"/>
      <c r="K153" s="171"/>
    </row>
    <row r="154" spans="3:14" ht="15" customHeight="1" x14ac:dyDescent="0.25">
      <c r="C154" s="171"/>
      <c r="D154" s="171"/>
      <c r="E154" s="171"/>
      <c r="F154" s="171"/>
      <c r="G154" s="171"/>
      <c r="H154" s="171"/>
      <c r="I154" s="171"/>
      <c r="J154" s="171"/>
      <c r="K154" s="171"/>
    </row>
    <row r="155" spans="3:14" ht="15" customHeight="1" x14ac:dyDescent="0.25">
      <c r="C155" s="171"/>
      <c r="D155" s="171"/>
      <c r="E155" s="171"/>
      <c r="F155" s="171"/>
      <c r="G155" s="171"/>
      <c r="H155" s="171"/>
      <c r="I155" s="171"/>
      <c r="J155" s="171"/>
      <c r="K155" s="171"/>
    </row>
    <row r="156" spans="3:14" ht="15" customHeight="1" x14ac:dyDescent="0.25">
      <c r="C156" s="171"/>
      <c r="D156" s="171"/>
      <c r="E156" s="171"/>
      <c r="F156" s="171"/>
      <c r="G156" s="171"/>
      <c r="H156" s="171"/>
      <c r="I156" s="171"/>
      <c r="J156" s="171"/>
      <c r="K156" s="171"/>
    </row>
    <row r="157" spans="3:14" ht="15" customHeight="1" x14ac:dyDescent="0.25">
      <c r="C157" s="171"/>
      <c r="D157" s="171"/>
      <c r="E157" s="171"/>
      <c r="F157" s="171"/>
      <c r="G157" s="171"/>
      <c r="H157" s="171"/>
      <c r="I157" s="171"/>
      <c r="J157" s="171"/>
      <c r="K157" s="171"/>
    </row>
    <row r="158" spans="3:14" ht="15" customHeight="1" x14ac:dyDescent="0.25">
      <c r="C158" s="171"/>
      <c r="D158" s="171"/>
      <c r="E158" s="171"/>
      <c r="F158" s="171"/>
      <c r="G158" s="171"/>
      <c r="H158" s="171"/>
      <c r="I158" s="171"/>
      <c r="J158" s="171"/>
      <c r="K158" s="171"/>
    </row>
    <row r="159" spans="3:14" ht="15" customHeight="1" x14ac:dyDescent="0.25">
      <c r="C159" s="171"/>
      <c r="D159" s="171"/>
      <c r="E159" s="171"/>
      <c r="F159" s="171"/>
      <c r="G159" s="171"/>
      <c r="H159" s="171"/>
      <c r="I159" s="171"/>
      <c r="J159" s="171"/>
      <c r="K159" s="171"/>
    </row>
    <row r="160" spans="3:14" ht="15" customHeight="1" x14ac:dyDescent="0.25">
      <c r="C160" s="171"/>
      <c r="D160" s="171"/>
      <c r="E160" s="171"/>
      <c r="F160" s="171"/>
      <c r="G160" s="171"/>
      <c r="H160" s="171"/>
      <c r="I160" s="171"/>
      <c r="J160" s="171"/>
      <c r="K160" s="171"/>
    </row>
    <row r="161" spans="3:55" x14ac:dyDescent="0.25">
      <c r="C161" s="171"/>
      <c r="D161" s="171"/>
      <c r="E161" s="171"/>
      <c r="F161" s="171"/>
      <c r="G161" s="171"/>
      <c r="H161" s="171"/>
      <c r="I161" s="171"/>
      <c r="J161" s="171"/>
      <c r="K161" s="171"/>
    </row>
    <row r="162" spans="3:55" x14ac:dyDescent="0.25">
      <c r="C162" s="171"/>
      <c r="D162" s="171"/>
      <c r="E162" s="171"/>
      <c r="F162" s="171"/>
      <c r="G162" s="171"/>
      <c r="H162" s="171"/>
      <c r="I162" s="171"/>
      <c r="J162" s="171"/>
      <c r="K162" s="171"/>
    </row>
    <row r="163" spans="3:55" x14ac:dyDescent="0.25">
      <c r="C163" s="171"/>
      <c r="D163" s="171"/>
      <c r="E163" s="171"/>
      <c r="F163" s="171"/>
      <c r="G163" s="171"/>
      <c r="H163" s="171"/>
      <c r="I163" s="171"/>
      <c r="J163" s="171"/>
      <c r="K163" s="171"/>
      <c r="L163" s="303"/>
    </row>
    <row r="164" spans="3:55" ht="15" customHeight="1" x14ac:dyDescent="0.25">
      <c r="C164" s="171"/>
      <c r="D164" s="171"/>
      <c r="E164" s="171"/>
      <c r="F164" s="171"/>
      <c r="G164" s="171"/>
      <c r="H164" s="171"/>
      <c r="I164" s="171"/>
      <c r="J164" s="171"/>
      <c r="K164" s="171"/>
    </row>
    <row r="165" spans="3:55" ht="15" customHeight="1" x14ac:dyDescent="0.25">
      <c r="C165" s="171"/>
      <c r="D165" s="171"/>
      <c r="E165" s="171"/>
      <c r="F165" s="171"/>
      <c r="G165" s="171"/>
      <c r="H165" s="171"/>
      <c r="I165" s="171"/>
      <c r="J165" s="171"/>
      <c r="K165" s="171"/>
    </row>
    <row r="166" spans="3:55" ht="15" customHeight="1" x14ac:dyDescent="0.25">
      <c r="C166" s="171"/>
      <c r="D166" s="171"/>
      <c r="E166" s="171"/>
      <c r="F166" s="171"/>
      <c r="G166" s="171"/>
      <c r="H166" s="171"/>
      <c r="I166" s="171"/>
      <c r="J166" s="171"/>
      <c r="K166" s="171"/>
    </row>
    <row r="167" spans="3:55" ht="15" customHeight="1" x14ac:dyDescent="0.25">
      <c r="C167" s="171"/>
      <c r="D167" s="171"/>
      <c r="E167" s="171"/>
      <c r="F167" s="171"/>
      <c r="G167" s="171"/>
      <c r="H167" s="171"/>
      <c r="I167" s="171"/>
      <c r="J167" s="171"/>
      <c r="K167" s="171"/>
    </row>
    <row r="168" spans="3:55" ht="15" customHeight="1" x14ac:dyDescent="0.25">
      <c r="C168" s="171"/>
      <c r="D168" s="171"/>
      <c r="E168" s="171"/>
      <c r="F168" s="171"/>
      <c r="G168" s="171"/>
      <c r="H168" s="171"/>
      <c r="I168" s="171"/>
      <c r="J168" s="171"/>
      <c r="K168" s="171"/>
    </row>
    <row r="169" spans="3:55" ht="15" customHeight="1" x14ac:dyDescent="0.25">
      <c r="C169" s="171"/>
      <c r="D169" s="171"/>
      <c r="E169" s="171"/>
      <c r="F169" s="171"/>
      <c r="G169" s="171"/>
      <c r="H169" s="171"/>
      <c r="I169" s="171"/>
      <c r="J169" s="171"/>
      <c r="K169" s="171"/>
    </row>
    <row r="170" spans="3:55" ht="15" customHeight="1" x14ac:dyDescent="0.25">
      <c r="C170" s="171"/>
      <c r="D170" s="171"/>
      <c r="E170" s="171"/>
      <c r="F170" s="171"/>
      <c r="G170" s="171"/>
      <c r="H170" s="171"/>
      <c r="I170" s="171"/>
      <c r="J170" s="171"/>
      <c r="K170" s="171"/>
    </row>
    <row r="171" spans="3:55" ht="15" customHeight="1" x14ac:dyDescent="0.25">
      <c r="C171" s="171"/>
      <c r="D171" s="171"/>
      <c r="E171" s="171"/>
      <c r="F171" s="171"/>
      <c r="G171" s="171"/>
      <c r="H171" s="171"/>
      <c r="I171" s="171"/>
      <c r="J171" s="171"/>
      <c r="K171" s="171"/>
    </row>
    <row r="172" spans="3:55" ht="15" customHeight="1" x14ac:dyDescent="0.25">
      <c r="C172" s="171"/>
      <c r="D172" s="171"/>
      <c r="E172" s="171"/>
      <c r="F172" s="171"/>
      <c r="G172" s="171"/>
      <c r="H172" s="171"/>
      <c r="I172" s="171"/>
      <c r="J172" s="171"/>
      <c r="K172" s="171"/>
    </row>
    <row r="173" spans="3:55" ht="15" customHeight="1" x14ac:dyDescent="0.25">
      <c r="C173" s="171"/>
      <c r="D173" s="171"/>
      <c r="E173" s="171"/>
      <c r="F173" s="171"/>
      <c r="G173" s="171"/>
      <c r="H173" s="171"/>
      <c r="I173" s="171"/>
      <c r="J173" s="171"/>
      <c r="K173" s="171"/>
    </row>
    <row r="174" spans="3:55" ht="15" customHeight="1" x14ac:dyDescent="0.25">
      <c r="C174" s="171"/>
      <c r="D174" s="171"/>
      <c r="E174" s="171"/>
      <c r="F174" s="171"/>
      <c r="G174" s="171"/>
      <c r="H174" s="171"/>
      <c r="I174" s="171"/>
      <c r="J174" s="171"/>
      <c r="K174" s="171"/>
    </row>
    <row r="175" spans="3:55" s="171" customFormat="1" ht="15" customHeight="1" x14ac:dyDescent="0.25"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</row>
    <row r="176" spans="3:55" ht="15" customHeight="1" x14ac:dyDescent="0.25">
      <c r="C176" s="171"/>
      <c r="D176" s="171"/>
      <c r="E176" s="171"/>
      <c r="F176" s="171"/>
      <c r="G176" s="171"/>
      <c r="H176" s="171"/>
      <c r="I176" s="171"/>
      <c r="J176" s="171"/>
      <c r="K176" s="171"/>
    </row>
    <row r="177" spans="3:11" ht="15" customHeight="1" x14ac:dyDescent="0.25">
      <c r="C177" s="171"/>
      <c r="D177" s="171"/>
      <c r="E177" s="171"/>
      <c r="F177" s="171"/>
      <c r="G177" s="171"/>
      <c r="H177" s="171"/>
      <c r="I177" s="171"/>
      <c r="J177" s="171"/>
      <c r="K177" s="171"/>
    </row>
    <row r="178" spans="3:11" ht="15" customHeight="1" x14ac:dyDescent="0.25">
      <c r="C178" s="171"/>
      <c r="D178" s="171"/>
      <c r="E178" s="171"/>
      <c r="F178" s="171"/>
      <c r="G178" s="171"/>
      <c r="H178" s="171"/>
      <c r="I178" s="171"/>
      <c r="J178" s="171"/>
      <c r="K178" s="171"/>
    </row>
    <row r="179" spans="3:11" x14ac:dyDescent="0.25">
      <c r="C179" s="171"/>
      <c r="D179" s="171"/>
      <c r="E179" s="171"/>
      <c r="F179" s="171"/>
      <c r="G179" s="171"/>
      <c r="H179" s="171"/>
      <c r="I179" s="171"/>
      <c r="J179" s="171"/>
      <c r="K179" s="171"/>
    </row>
    <row r="180" spans="3:11" ht="30.75" customHeight="1" x14ac:dyDescent="0.25">
      <c r="C180" s="171"/>
      <c r="D180" s="171"/>
      <c r="E180" s="171"/>
      <c r="F180" s="171"/>
      <c r="G180" s="171"/>
      <c r="H180" s="171"/>
      <c r="I180" s="171"/>
      <c r="J180" s="171"/>
      <c r="K180" s="171"/>
    </row>
    <row r="181" spans="3:11" ht="15" customHeight="1" x14ac:dyDescent="0.25">
      <c r="C181" s="171"/>
      <c r="D181" s="171"/>
      <c r="E181" s="171"/>
      <c r="F181" s="171"/>
      <c r="G181" s="171"/>
      <c r="H181" s="171"/>
      <c r="I181" s="171"/>
      <c r="J181" s="171"/>
      <c r="K181" s="171"/>
    </row>
    <row r="182" spans="3:11" ht="15" customHeight="1" x14ac:dyDescent="0.25">
      <c r="C182" s="171"/>
      <c r="D182" s="171"/>
      <c r="E182" s="171"/>
      <c r="F182" s="171"/>
      <c r="G182" s="171"/>
      <c r="H182" s="171"/>
      <c r="I182" s="171"/>
      <c r="J182" s="171"/>
      <c r="K182" s="171"/>
    </row>
    <row r="183" spans="3:11" ht="15" customHeight="1" x14ac:dyDescent="0.25">
      <c r="C183" s="171"/>
      <c r="D183" s="171"/>
      <c r="E183" s="171"/>
      <c r="F183" s="171"/>
      <c r="G183" s="171"/>
      <c r="H183" s="171"/>
      <c r="I183" s="171"/>
      <c r="J183" s="171"/>
      <c r="K183" s="171"/>
    </row>
    <row r="184" spans="3:11" ht="15" customHeight="1" x14ac:dyDescent="0.25">
      <c r="C184" s="171"/>
      <c r="D184" s="171"/>
      <c r="E184" s="171"/>
      <c r="F184" s="171"/>
      <c r="G184" s="171"/>
      <c r="H184" s="171"/>
      <c r="I184" s="171"/>
      <c r="J184" s="171"/>
      <c r="K184" s="171"/>
    </row>
    <row r="185" spans="3:11" ht="15" customHeight="1" x14ac:dyDescent="0.25">
      <c r="C185" s="171"/>
      <c r="D185" s="171"/>
      <c r="E185" s="171"/>
      <c r="F185" s="171"/>
      <c r="G185" s="171"/>
      <c r="H185" s="171"/>
      <c r="I185" s="171"/>
      <c r="J185" s="171"/>
      <c r="K185" s="171"/>
    </row>
    <row r="186" spans="3:11" ht="15" customHeight="1" x14ac:dyDescent="0.25">
      <c r="C186" s="171"/>
      <c r="D186" s="171"/>
      <c r="E186" s="171"/>
      <c r="F186" s="171"/>
      <c r="G186" s="171"/>
      <c r="H186" s="171"/>
      <c r="I186" s="171"/>
      <c r="J186" s="171"/>
      <c r="K186" s="171"/>
    </row>
    <row r="187" spans="3:11" ht="15" customHeight="1" x14ac:dyDescent="0.25">
      <c r="C187" s="171"/>
      <c r="D187" s="171"/>
      <c r="E187" s="171"/>
      <c r="F187" s="171"/>
      <c r="G187" s="171"/>
      <c r="H187" s="171"/>
      <c r="I187" s="171"/>
      <c r="J187" s="171"/>
      <c r="K187" s="171"/>
    </row>
    <row r="188" spans="3:11" ht="15" customHeight="1" x14ac:dyDescent="0.25">
      <c r="C188" s="171"/>
      <c r="D188" s="171"/>
      <c r="E188" s="171"/>
      <c r="F188" s="171"/>
      <c r="G188" s="171"/>
      <c r="H188" s="171"/>
      <c r="I188" s="171"/>
      <c r="J188" s="171"/>
      <c r="K188" s="171"/>
    </row>
    <row r="189" spans="3:11" ht="15" customHeight="1" x14ac:dyDescent="0.25">
      <c r="C189" s="171"/>
      <c r="D189" s="171"/>
      <c r="E189" s="171"/>
      <c r="F189" s="171"/>
      <c r="G189" s="171"/>
      <c r="H189" s="171"/>
      <c r="I189" s="171"/>
      <c r="J189" s="171"/>
      <c r="K189" s="171"/>
    </row>
    <row r="190" spans="3:11" ht="15" customHeight="1" x14ac:dyDescent="0.25">
      <c r="C190" s="171"/>
      <c r="D190" s="171"/>
      <c r="E190" s="171"/>
      <c r="F190" s="171"/>
      <c r="G190" s="171"/>
      <c r="H190" s="171"/>
      <c r="I190" s="171"/>
      <c r="J190" s="171"/>
      <c r="K190" s="171"/>
    </row>
    <row r="191" spans="3:11" ht="15" customHeight="1" x14ac:dyDescent="0.25">
      <c r="C191" s="171"/>
      <c r="D191" s="171"/>
      <c r="E191" s="171"/>
      <c r="F191" s="171"/>
      <c r="G191" s="171"/>
      <c r="H191" s="171"/>
      <c r="I191" s="171"/>
      <c r="J191" s="171"/>
      <c r="K191" s="171"/>
    </row>
    <row r="192" spans="3:11" ht="15" customHeight="1" x14ac:dyDescent="0.25">
      <c r="C192" s="171"/>
      <c r="D192" s="171"/>
      <c r="E192" s="171"/>
      <c r="F192" s="171"/>
      <c r="G192" s="171"/>
      <c r="H192" s="171"/>
      <c r="I192" s="171"/>
      <c r="J192" s="171"/>
      <c r="K192" s="171"/>
    </row>
    <row r="193" spans="3:24" ht="15" customHeight="1" x14ac:dyDescent="0.25">
      <c r="C193" s="171"/>
      <c r="D193" s="171"/>
      <c r="E193" s="171"/>
      <c r="F193" s="171"/>
      <c r="G193" s="171"/>
      <c r="H193" s="171"/>
      <c r="I193" s="171"/>
      <c r="J193" s="171"/>
      <c r="K193" s="171"/>
    </row>
    <row r="194" spans="3:24" ht="15" customHeight="1" x14ac:dyDescent="0.25">
      <c r="C194" s="171"/>
      <c r="D194" s="171"/>
      <c r="E194" s="171"/>
      <c r="F194" s="171"/>
      <c r="G194" s="171"/>
      <c r="H194" s="171"/>
      <c r="I194" s="171"/>
      <c r="J194" s="171"/>
      <c r="K194" s="171"/>
    </row>
    <row r="195" spans="3:24" ht="15" customHeight="1" x14ac:dyDescent="0.25">
      <c r="C195" s="171"/>
      <c r="D195" s="171"/>
      <c r="E195" s="171"/>
      <c r="F195" s="171"/>
      <c r="G195" s="171"/>
      <c r="H195" s="171"/>
      <c r="I195" s="171"/>
      <c r="J195" s="171"/>
      <c r="K195" s="171"/>
    </row>
    <row r="196" spans="3:24" ht="15" customHeight="1" x14ac:dyDescent="0.25">
      <c r="C196" s="171"/>
      <c r="D196" s="171"/>
      <c r="E196" s="171"/>
      <c r="F196" s="171"/>
      <c r="G196" s="171"/>
      <c r="H196" s="171"/>
      <c r="I196" s="171"/>
      <c r="J196" s="171"/>
      <c r="K196" s="171"/>
    </row>
    <row r="197" spans="3:24" ht="15" customHeight="1" x14ac:dyDescent="0.25">
      <c r="C197" s="171"/>
      <c r="D197" s="171"/>
      <c r="E197" s="171"/>
      <c r="F197" s="171"/>
      <c r="G197" s="171"/>
      <c r="H197" s="171"/>
      <c r="I197" s="171"/>
      <c r="J197" s="171"/>
      <c r="K197" s="171"/>
    </row>
    <row r="198" spans="3:24" ht="15" customHeight="1" x14ac:dyDescent="0.25">
      <c r="C198" s="171"/>
      <c r="D198" s="171"/>
      <c r="E198" s="171"/>
      <c r="F198" s="171"/>
      <c r="G198" s="171"/>
      <c r="H198" s="171"/>
      <c r="I198" s="171"/>
      <c r="J198" s="171"/>
      <c r="K198" s="171"/>
    </row>
    <row r="199" spans="3:24" ht="15" customHeight="1" x14ac:dyDescent="0.25">
      <c r="C199" s="171"/>
      <c r="D199" s="171"/>
      <c r="E199" s="171"/>
      <c r="F199" s="171"/>
      <c r="G199" s="171"/>
      <c r="H199" s="171"/>
      <c r="I199" s="171"/>
      <c r="J199" s="171"/>
      <c r="K199" s="171"/>
    </row>
    <row r="200" spans="3:24" ht="31.5" customHeight="1" x14ac:dyDescent="0.25">
      <c r="C200" s="171"/>
      <c r="D200" s="171"/>
      <c r="E200" s="171"/>
      <c r="F200" s="171"/>
      <c r="G200" s="171"/>
      <c r="H200" s="171"/>
      <c r="I200" s="171"/>
      <c r="J200" s="171"/>
      <c r="K200" s="171"/>
    </row>
    <row r="201" spans="3:24" ht="15" customHeight="1" x14ac:dyDescent="0.25">
      <c r="C201" s="171"/>
      <c r="D201" s="171"/>
      <c r="E201" s="171"/>
      <c r="F201" s="171"/>
      <c r="G201" s="171"/>
      <c r="H201" s="171"/>
      <c r="I201" s="171"/>
      <c r="J201" s="171"/>
      <c r="K201" s="171"/>
      <c r="X201" s="358"/>
    </row>
    <row r="202" spans="3:24" ht="15" customHeight="1" x14ac:dyDescent="0.25">
      <c r="C202" s="171"/>
      <c r="D202" s="171"/>
      <c r="E202" s="171"/>
      <c r="F202" s="171"/>
      <c r="G202" s="171"/>
      <c r="H202" s="171"/>
      <c r="I202" s="171"/>
      <c r="J202" s="171"/>
      <c r="K202" s="171"/>
    </row>
    <row r="203" spans="3:24" ht="15" customHeight="1" x14ac:dyDescent="0.25">
      <c r="C203" s="171"/>
      <c r="D203" s="171"/>
      <c r="E203" s="171"/>
      <c r="F203" s="171"/>
      <c r="G203" s="171"/>
      <c r="H203" s="171"/>
      <c r="I203" s="171"/>
      <c r="J203" s="171"/>
      <c r="K203" s="171"/>
    </row>
    <row r="204" spans="3:24" ht="15" customHeight="1" x14ac:dyDescent="0.25">
      <c r="C204" s="171"/>
      <c r="D204" s="171"/>
      <c r="E204" s="171"/>
      <c r="F204" s="171"/>
      <c r="G204" s="171"/>
      <c r="H204" s="171"/>
      <c r="I204" s="171"/>
      <c r="J204" s="171"/>
      <c r="K204" s="171"/>
      <c r="X204" s="285"/>
    </row>
    <row r="205" spans="3:24" ht="15" customHeight="1" x14ac:dyDescent="0.25">
      <c r="C205" s="171"/>
      <c r="D205" s="171"/>
      <c r="E205" s="171"/>
      <c r="F205" s="171"/>
      <c r="G205" s="171"/>
      <c r="H205" s="171"/>
      <c r="I205" s="171"/>
      <c r="J205" s="171"/>
      <c r="K205" s="171"/>
      <c r="X205" s="285"/>
    </row>
    <row r="206" spans="3:24" ht="15" customHeight="1" x14ac:dyDescent="0.25">
      <c r="C206" s="171"/>
      <c r="D206" s="171"/>
      <c r="E206" s="171"/>
      <c r="F206" s="171"/>
      <c r="G206" s="171"/>
      <c r="H206" s="171"/>
      <c r="I206" s="171"/>
      <c r="J206" s="171"/>
      <c r="K206" s="171"/>
      <c r="X206" s="285"/>
    </row>
    <row r="207" spans="3:24" ht="15" customHeight="1" x14ac:dyDescent="0.25">
      <c r="C207" s="171"/>
      <c r="D207" s="171"/>
      <c r="E207" s="171"/>
      <c r="F207" s="171"/>
      <c r="G207" s="171"/>
      <c r="H207" s="171"/>
      <c r="I207" s="171"/>
      <c r="J207" s="171"/>
      <c r="K207" s="171"/>
      <c r="X207" s="285"/>
    </row>
    <row r="208" spans="3:24" ht="15" customHeight="1" x14ac:dyDescent="0.25">
      <c r="C208" s="171"/>
      <c r="D208" s="171"/>
      <c r="E208" s="171"/>
      <c r="F208" s="171"/>
      <c r="G208" s="171"/>
      <c r="H208" s="171"/>
      <c r="I208" s="171"/>
      <c r="J208" s="171"/>
      <c r="K208" s="171"/>
      <c r="X208" s="285"/>
    </row>
    <row r="209" spans="3:24" ht="15" customHeight="1" x14ac:dyDescent="0.25">
      <c r="C209" s="171"/>
      <c r="D209" s="171"/>
      <c r="E209" s="171"/>
      <c r="F209" s="171"/>
      <c r="G209" s="171"/>
      <c r="H209" s="171"/>
      <c r="I209" s="171"/>
      <c r="J209" s="171"/>
      <c r="K209" s="171"/>
      <c r="X209" s="285"/>
    </row>
    <row r="210" spans="3:24" ht="15" customHeight="1" x14ac:dyDescent="0.25">
      <c r="C210" s="171"/>
      <c r="D210" s="171"/>
      <c r="E210" s="171"/>
      <c r="F210" s="171"/>
      <c r="G210" s="171"/>
      <c r="H210" s="171"/>
      <c r="I210" s="171"/>
      <c r="J210" s="171"/>
      <c r="K210" s="171"/>
      <c r="X210" s="359"/>
    </row>
    <row r="211" spans="3:24" ht="15" customHeight="1" x14ac:dyDescent="0.25">
      <c r="C211" s="171"/>
      <c r="D211" s="171"/>
      <c r="E211" s="171"/>
      <c r="F211" s="171"/>
      <c r="G211" s="171"/>
      <c r="H211" s="171"/>
      <c r="I211" s="171"/>
      <c r="J211" s="171"/>
      <c r="K211" s="171"/>
    </row>
    <row r="212" spans="3:24" ht="15" customHeight="1" x14ac:dyDescent="0.25">
      <c r="C212" s="171"/>
      <c r="D212" s="171"/>
      <c r="E212" s="171"/>
      <c r="F212" s="171"/>
      <c r="G212" s="171"/>
      <c r="H212" s="171"/>
      <c r="I212" s="171"/>
      <c r="J212" s="171"/>
      <c r="K212" s="171"/>
      <c r="X212" s="285"/>
    </row>
    <row r="213" spans="3:24" ht="15" customHeight="1" x14ac:dyDescent="0.25">
      <c r="C213" s="171"/>
      <c r="D213" s="171"/>
      <c r="E213" s="171"/>
      <c r="F213" s="171"/>
      <c r="G213" s="171"/>
      <c r="H213" s="171"/>
      <c r="I213" s="171"/>
      <c r="J213" s="171"/>
      <c r="K213" s="171"/>
    </row>
    <row r="214" spans="3:24" ht="15" customHeight="1" x14ac:dyDescent="0.25">
      <c r="C214" s="171"/>
      <c r="D214" s="171"/>
      <c r="E214" s="171"/>
      <c r="F214" s="171"/>
      <c r="G214" s="171"/>
      <c r="H214" s="171"/>
      <c r="I214" s="171"/>
      <c r="J214" s="171"/>
      <c r="K214" s="171"/>
    </row>
    <row r="215" spans="3:24" ht="15" customHeight="1" x14ac:dyDescent="0.25">
      <c r="C215" s="171"/>
      <c r="D215" s="171"/>
      <c r="E215" s="171"/>
      <c r="F215" s="171"/>
      <c r="G215" s="171"/>
      <c r="H215" s="171"/>
      <c r="I215" s="171"/>
      <c r="J215" s="171"/>
      <c r="K215" s="171"/>
    </row>
    <row r="216" spans="3:24" ht="15" customHeight="1" x14ac:dyDescent="0.25">
      <c r="C216" s="171"/>
      <c r="D216" s="171"/>
      <c r="E216" s="171"/>
      <c r="F216" s="171"/>
      <c r="G216" s="171"/>
      <c r="H216" s="171"/>
      <c r="I216" s="171"/>
      <c r="J216" s="171"/>
      <c r="K216" s="171"/>
    </row>
    <row r="217" spans="3:24" ht="15" customHeight="1" x14ac:dyDescent="0.25">
      <c r="C217" s="171"/>
      <c r="D217" s="171"/>
      <c r="E217" s="171"/>
      <c r="F217" s="171"/>
      <c r="G217" s="171"/>
      <c r="H217" s="171"/>
      <c r="I217" s="171"/>
      <c r="J217" s="171"/>
      <c r="K217" s="171"/>
    </row>
    <row r="218" spans="3:24" ht="15" customHeight="1" x14ac:dyDescent="0.25">
      <c r="C218" s="171"/>
      <c r="D218" s="171"/>
      <c r="E218" s="171"/>
      <c r="F218" s="171"/>
      <c r="G218" s="171"/>
      <c r="H218" s="171"/>
      <c r="I218" s="171"/>
      <c r="J218" s="171"/>
      <c r="K218" s="171"/>
    </row>
    <row r="219" spans="3:24" ht="15" customHeight="1" x14ac:dyDescent="0.25">
      <c r="C219" s="171"/>
      <c r="D219" s="171"/>
      <c r="E219" s="171"/>
      <c r="F219" s="171"/>
      <c r="G219" s="171"/>
      <c r="H219" s="171"/>
      <c r="I219" s="171"/>
      <c r="J219" s="171"/>
      <c r="K219" s="171"/>
    </row>
    <row r="220" spans="3:24" ht="15" customHeight="1" x14ac:dyDescent="0.25">
      <c r="C220" s="171"/>
      <c r="D220" s="171"/>
      <c r="E220" s="171"/>
      <c r="F220" s="171"/>
      <c r="G220" s="171"/>
      <c r="H220" s="171"/>
      <c r="I220" s="171"/>
      <c r="J220" s="171"/>
      <c r="K220" s="171"/>
    </row>
    <row r="221" spans="3:24" ht="15" customHeight="1" x14ac:dyDescent="0.25">
      <c r="C221" s="171"/>
      <c r="D221" s="171"/>
      <c r="E221" s="171"/>
      <c r="F221" s="171"/>
      <c r="G221" s="171"/>
      <c r="H221" s="171"/>
      <c r="I221" s="171"/>
      <c r="J221" s="171"/>
      <c r="K221" s="171"/>
    </row>
    <row r="222" spans="3:24" ht="15" customHeight="1" x14ac:dyDescent="0.25">
      <c r="C222" s="171"/>
      <c r="D222" s="171"/>
      <c r="E222" s="171"/>
      <c r="F222" s="171"/>
      <c r="G222" s="171"/>
      <c r="H222" s="171"/>
      <c r="I222" s="171"/>
      <c r="J222" s="171"/>
      <c r="K222" s="171"/>
    </row>
    <row r="223" spans="3:24" ht="15" customHeight="1" x14ac:dyDescent="0.25">
      <c r="C223" s="171"/>
      <c r="D223" s="171"/>
      <c r="E223" s="171"/>
      <c r="F223" s="171"/>
      <c r="G223" s="171"/>
      <c r="H223" s="171"/>
      <c r="I223" s="171"/>
      <c r="J223" s="171"/>
      <c r="K223" s="171"/>
    </row>
    <row r="224" spans="3:24" ht="15" customHeight="1" x14ac:dyDescent="0.25">
      <c r="C224" s="171"/>
      <c r="D224" s="171"/>
      <c r="E224" s="171"/>
      <c r="F224" s="171"/>
      <c r="G224" s="171"/>
      <c r="H224" s="171"/>
      <c r="I224" s="171"/>
      <c r="J224" s="171"/>
      <c r="K224" s="171"/>
    </row>
    <row r="225" spans="3:22" ht="15" customHeight="1" x14ac:dyDescent="0.25">
      <c r="C225" s="171"/>
      <c r="D225" s="171"/>
      <c r="E225" s="171"/>
      <c r="F225" s="171"/>
      <c r="G225" s="171"/>
      <c r="H225" s="171"/>
      <c r="I225" s="171"/>
      <c r="J225" s="171"/>
      <c r="K225" s="171"/>
    </row>
    <row r="226" spans="3:22" ht="15" customHeight="1" x14ac:dyDescent="0.25">
      <c r="C226" s="171"/>
      <c r="D226" s="171"/>
      <c r="E226" s="171"/>
      <c r="F226" s="171"/>
      <c r="G226" s="171"/>
      <c r="H226" s="171"/>
      <c r="I226" s="171"/>
      <c r="J226" s="171"/>
      <c r="K226" s="171"/>
    </row>
    <row r="227" spans="3:22" ht="15" customHeight="1" x14ac:dyDescent="0.25">
      <c r="C227" s="171"/>
      <c r="D227" s="171"/>
      <c r="E227" s="171"/>
      <c r="F227" s="171"/>
      <c r="G227" s="171"/>
      <c r="H227" s="171"/>
      <c r="I227" s="171"/>
      <c r="J227" s="171"/>
      <c r="K227" s="171"/>
    </row>
    <row r="228" spans="3:22" ht="15" customHeight="1" x14ac:dyDescent="0.25">
      <c r="C228" s="171"/>
      <c r="D228" s="171"/>
      <c r="E228" s="171"/>
      <c r="F228" s="171"/>
      <c r="G228" s="171"/>
      <c r="H228" s="171"/>
      <c r="I228" s="171"/>
      <c r="J228" s="171"/>
      <c r="K228" s="171"/>
    </row>
    <row r="229" spans="3:22" ht="15" customHeight="1" x14ac:dyDescent="0.25">
      <c r="C229" s="171"/>
      <c r="D229" s="171"/>
      <c r="E229" s="171"/>
      <c r="F229" s="171"/>
      <c r="G229" s="171"/>
      <c r="H229" s="171"/>
      <c r="I229" s="171"/>
      <c r="J229" s="171"/>
      <c r="K229" s="171"/>
      <c r="N229" s="304"/>
      <c r="O229" s="15"/>
      <c r="P229" s="15"/>
      <c r="Q229" s="15"/>
      <c r="R229" s="15"/>
    </row>
    <row r="230" spans="3:22" ht="15" customHeight="1" x14ac:dyDescent="0.25">
      <c r="C230" s="171"/>
      <c r="D230" s="171"/>
      <c r="E230" s="171"/>
      <c r="F230" s="171"/>
      <c r="G230" s="171"/>
      <c r="H230" s="171"/>
      <c r="I230" s="171"/>
      <c r="J230" s="171"/>
      <c r="K230" s="171"/>
      <c r="R230" s="15"/>
      <c r="S230" s="360"/>
      <c r="T230" s="360"/>
      <c r="U230" s="360"/>
      <c r="V230" s="360"/>
    </row>
    <row r="231" spans="3:22" ht="15" customHeight="1" x14ac:dyDescent="0.25">
      <c r="C231" s="171"/>
      <c r="D231" s="171"/>
      <c r="E231" s="171"/>
      <c r="F231" s="171"/>
      <c r="G231" s="171"/>
      <c r="H231" s="171"/>
      <c r="I231" s="171"/>
      <c r="J231" s="171"/>
      <c r="K231" s="171"/>
      <c r="Q231" s="15"/>
      <c r="R231" s="15"/>
      <c r="S231" s="360"/>
      <c r="T231" s="360"/>
      <c r="U231" s="360"/>
      <c r="V231" s="360"/>
    </row>
    <row r="232" spans="3:22" ht="15" customHeight="1" x14ac:dyDescent="0.25">
      <c r="C232" s="171"/>
      <c r="D232" s="171"/>
      <c r="E232" s="171"/>
      <c r="F232" s="171"/>
      <c r="G232" s="171"/>
      <c r="H232" s="171"/>
      <c r="I232" s="171"/>
      <c r="J232" s="171"/>
      <c r="K232" s="171"/>
      <c r="N232" s="15"/>
      <c r="O232" s="15"/>
      <c r="P232" s="14"/>
      <c r="Q232" s="15"/>
      <c r="R232" s="15"/>
    </row>
    <row r="233" spans="3:22" ht="15" customHeight="1" x14ac:dyDescent="0.25">
      <c r="C233" s="171"/>
      <c r="D233" s="171"/>
      <c r="E233" s="171"/>
      <c r="F233" s="171"/>
      <c r="G233" s="171"/>
      <c r="H233" s="171"/>
      <c r="I233" s="171"/>
      <c r="J233" s="171"/>
      <c r="K233" s="171"/>
      <c r="N233" s="15"/>
      <c r="O233" s="15"/>
      <c r="P233" s="15"/>
      <c r="Q233" s="15"/>
      <c r="R233" s="15"/>
    </row>
    <row r="234" spans="3:22" ht="15" customHeight="1" x14ac:dyDescent="0.25">
      <c r="C234" s="171"/>
      <c r="D234" s="171"/>
      <c r="E234" s="171"/>
      <c r="F234" s="171"/>
      <c r="G234" s="171"/>
      <c r="H234" s="171"/>
      <c r="I234" s="171"/>
      <c r="J234" s="171"/>
      <c r="K234" s="171"/>
      <c r="O234" s="15"/>
      <c r="P234" s="15"/>
    </row>
    <row r="235" spans="3:22" ht="15" customHeight="1" x14ac:dyDescent="0.25">
      <c r="C235" s="171"/>
      <c r="D235" s="171"/>
      <c r="E235" s="171"/>
      <c r="F235" s="171"/>
      <c r="G235" s="171"/>
      <c r="H235" s="171"/>
      <c r="I235" s="171"/>
      <c r="J235" s="171"/>
      <c r="K235" s="171"/>
      <c r="S235" s="361"/>
      <c r="T235" s="361"/>
      <c r="U235" s="361"/>
      <c r="V235" s="361"/>
    </row>
    <row r="236" spans="3:22" ht="15" customHeight="1" x14ac:dyDescent="0.25">
      <c r="C236" s="171"/>
      <c r="D236" s="171"/>
      <c r="E236" s="171"/>
      <c r="F236" s="171"/>
      <c r="G236" s="171"/>
      <c r="H236" s="171"/>
      <c r="I236" s="171"/>
      <c r="J236" s="171"/>
      <c r="K236" s="171"/>
      <c r="N236" s="306"/>
      <c r="O236" s="15"/>
      <c r="P236" s="305"/>
      <c r="Q236" s="305"/>
      <c r="R236" s="305"/>
    </row>
    <row r="237" spans="3:22" ht="15" customHeight="1" x14ac:dyDescent="0.25">
      <c r="C237" s="171"/>
      <c r="D237" s="171"/>
      <c r="E237" s="171"/>
      <c r="F237" s="171"/>
      <c r="G237" s="171"/>
      <c r="H237" s="171"/>
      <c r="I237" s="171"/>
      <c r="J237" s="171"/>
      <c r="K237" s="171"/>
      <c r="N237" s="306"/>
      <c r="O237" s="15"/>
      <c r="P237" s="305"/>
      <c r="Q237" s="305"/>
      <c r="R237" s="305"/>
    </row>
    <row r="238" spans="3:22" ht="15" customHeight="1" x14ac:dyDescent="0.25">
      <c r="C238" s="171"/>
      <c r="D238" s="171"/>
      <c r="E238" s="171"/>
      <c r="F238" s="171"/>
      <c r="G238" s="171"/>
      <c r="H238" s="171"/>
      <c r="I238" s="171"/>
      <c r="J238" s="171"/>
      <c r="K238" s="171"/>
      <c r="N238" s="15"/>
      <c r="O238" s="15"/>
      <c r="P238" s="307"/>
      <c r="Q238" s="307"/>
      <c r="R238" s="307"/>
    </row>
    <row r="239" spans="3:22" ht="15" customHeight="1" x14ac:dyDescent="0.25">
      <c r="C239" s="171"/>
      <c r="D239" s="171"/>
      <c r="E239" s="171"/>
      <c r="F239" s="171"/>
      <c r="G239" s="171"/>
      <c r="H239" s="171"/>
      <c r="I239" s="171"/>
      <c r="J239" s="171"/>
      <c r="K239" s="171"/>
      <c r="N239" s="15"/>
      <c r="O239" s="15"/>
      <c r="P239" s="307"/>
      <c r="Q239" s="307"/>
      <c r="R239" s="307"/>
    </row>
    <row r="240" spans="3:22" ht="15" customHeight="1" x14ac:dyDescent="0.25">
      <c r="C240" s="171"/>
      <c r="D240" s="171"/>
      <c r="E240" s="171"/>
      <c r="F240" s="171"/>
      <c r="G240" s="171"/>
      <c r="H240" s="171"/>
      <c r="I240" s="171"/>
      <c r="J240" s="171"/>
      <c r="K240" s="171"/>
      <c r="N240" s="15"/>
      <c r="O240" s="15"/>
      <c r="P240" s="307"/>
      <c r="Q240" s="307"/>
      <c r="R240" s="307"/>
    </row>
    <row r="241" spans="3:22" ht="15" customHeight="1" x14ac:dyDescent="0.25">
      <c r="C241" s="171"/>
      <c r="D241" s="171"/>
      <c r="E241" s="171"/>
      <c r="F241" s="171"/>
      <c r="G241" s="171"/>
      <c r="H241" s="171"/>
      <c r="I241" s="171"/>
      <c r="J241" s="171"/>
      <c r="K241" s="171"/>
      <c r="N241" s="15"/>
      <c r="O241" s="15"/>
      <c r="P241" s="307"/>
      <c r="Q241" s="307"/>
      <c r="R241" s="307"/>
    </row>
    <row r="242" spans="3:22" ht="15" customHeight="1" x14ac:dyDescent="0.25">
      <c r="C242" s="171"/>
      <c r="D242" s="171"/>
      <c r="E242" s="171"/>
      <c r="F242" s="171"/>
      <c r="G242" s="171"/>
      <c r="H242" s="171"/>
      <c r="I242" s="171"/>
      <c r="J242" s="171"/>
      <c r="K242" s="171"/>
      <c r="N242" s="15"/>
      <c r="O242" s="15"/>
      <c r="P242" s="307"/>
      <c r="Q242" s="307"/>
      <c r="R242" s="307"/>
    </row>
    <row r="243" spans="3:22" ht="15" customHeight="1" x14ac:dyDescent="0.25">
      <c r="C243" s="171"/>
      <c r="D243" s="171"/>
      <c r="E243" s="171"/>
      <c r="F243" s="171"/>
      <c r="G243" s="171"/>
      <c r="H243" s="171"/>
      <c r="I243" s="171"/>
      <c r="J243" s="171"/>
      <c r="K243" s="171"/>
      <c r="N243" s="15"/>
      <c r="O243" s="15"/>
      <c r="P243" s="307"/>
      <c r="Q243" s="307"/>
      <c r="R243" s="307"/>
    </row>
    <row r="244" spans="3:22" ht="15" customHeight="1" x14ac:dyDescent="0.25">
      <c r="C244" s="171"/>
      <c r="D244" s="171"/>
      <c r="E244" s="171"/>
      <c r="F244" s="171"/>
      <c r="G244" s="171"/>
      <c r="H244" s="171"/>
      <c r="I244" s="171"/>
      <c r="J244" s="171"/>
      <c r="K244" s="171"/>
      <c r="N244" s="15"/>
      <c r="O244" s="15"/>
      <c r="P244" s="307"/>
      <c r="Q244" s="307"/>
      <c r="R244" s="307"/>
      <c r="S244" s="362"/>
      <c r="T244" s="362"/>
      <c r="U244" s="362"/>
      <c r="V244" s="362"/>
    </row>
    <row r="245" spans="3:22" ht="15" customHeight="1" x14ac:dyDescent="0.25">
      <c r="C245" s="171"/>
      <c r="D245" s="171"/>
      <c r="E245" s="171"/>
      <c r="F245" s="171"/>
      <c r="G245" s="171"/>
      <c r="H245" s="171"/>
      <c r="I245" s="171"/>
      <c r="J245" s="171"/>
      <c r="K245" s="171"/>
      <c r="N245" s="15"/>
      <c r="O245" s="15"/>
      <c r="P245" s="307"/>
      <c r="Q245" s="308"/>
      <c r="R245" s="307"/>
    </row>
    <row r="246" spans="3:22" ht="15" customHeight="1" x14ac:dyDescent="0.25">
      <c r="C246" s="171"/>
      <c r="D246" s="171"/>
      <c r="E246" s="171"/>
      <c r="F246" s="171"/>
      <c r="G246" s="171"/>
      <c r="H246" s="171"/>
      <c r="I246" s="171"/>
      <c r="J246" s="171"/>
      <c r="K246" s="171"/>
      <c r="N246" s="15"/>
      <c r="O246" s="15"/>
      <c r="P246" s="307"/>
      <c r="Q246" s="307"/>
      <c r="R246" s="307"/>
    </row>
    <row r="247" spans="3:22" ht="15" customHeight="1" x14ac:dyDescent="0.25">
      <c r="C247" s="171"/>
      <c r="D247" s="171"/>
      <c r="E247" s="171"/>
      <c r="F247" s="171"/>
      <c r="G247" s="171"/>
      <c r="H247" s="171"/>
      <c r="I247" s="171"/>
      <c r="J247" s="171"/>
      <c r="K247" s="171"/>
      <c r="N247" s="15"/>
      <c r="O247" s="15"/>
      <c r="P247" s="307"/>
      <c r="Q247" s="307"/>
      <c r="R247" s="307"/>
    </row>
    <row r="248" spans="3:22" ht="15" customHeight="1" x14ac:dyDescent="0.25">
      <c r="C248" s="171"/>
      <c r="D248" s="171"/>
      <c r="E248" s="171"/>
      <c r="F248" s="171"/>
      <c r="G248" s="171"/>
      <c r="H248" s="171"/>
      <c r="I248" s="171"/>
      <c r="J248" s="171"/>
      <c r="K248" s="171"/>
      <c r="N248" s="15"/>
      <c r="O248" s="15"/>
      <c r="P248" s="15"/>
      <c r="Q248" s="15"/>
      <c r="R248" s="15"/>
    </row>
    <row r="249" spans="3:22" ht="15" customHeight="1" x14ac:dyDescent="0.25">
      <c r="C249" s="171"/>
      <c r="D249" s="171"/>
      <c r="E249" s="171"/>
      <c r="F249" s="171"/>
      <c r="G249" s="171"/>
      <c r="H249" s="171"/>
      <c r="I249" s="171"/>
      <c r="J249" s="171"/>
      <c r="K249" s="171"/>
      <c r="N249" s="304"/>
      <c r="O249" s="15"/>
      <c r="P249" s="15"/>
      <c r="Q249" s="15"/>
      <c r="R249" s="15"/>
      <c r="S249" s="361"/>
      <c r="T249" s="361"/>
      <c r="U249" s="361"/>
      <c r="V249" s="361"/>
    </row>
    <row r="250" spans="3:22" ht="15" customHeight="1" x14ac:dyDescent="0.25">
      <c r="C250" s="171"/>
      <c r="D250" s="171"/>
      <c r="E250" s="171"/>
      <c r="F250" s="171"/>
      <c r="G250" s="171"/>
      <c r="H250" s="171"/>
      <c r="I250" s="171"/>
      <c r="J250" s="171"/>
      <c r="K250" s="171"/>
      <c r="N250" s="309"/>
      <c r="O250" s="15"/>
      <c r="P250" s="305"/>
      <c r="Q250" s="305"/>
      <c r="R250" s="305"/>
    </row>
    <row r="251" spans="3:22" ht="15" customHeight="1" x14ac:dyDescent="0.25">
      <c r="C251" s="171"/>
      <c r="D251" s="171"/>
      <c r="E251" s="171"/>
      <c r="F251" s="171"/>
      <c r="G251" s="171"/>
      <c r="H251" s="171"/>
      <c r="I251" s="171"/>
      <c r="J251" s="171"/>
      <c r="K251" s="171"/>
      <c r="N251" s="306"/>
      <c r="O251" s="15"/>
      <c r="P251" s="305"/>
      <c r="Q251" s="305"/>
      <c r="R251" s="305"/>
    </row>
    <row r="252" spans="3:22" ht="15" customHeight="1" x14ac:dyDescent="0.25">
      <c r="C252" s="171"/>
      <c r="D252" s="171"/>
      <c r="E252" s="171"/>
      <c r="F252" s="171"/>
      <c r="G252" s="171"/>
      <c r="H252" s="171"/>
      <c r="I252" s="171"/>
      <c r="J252" s="171"/>
      <c r="K252" s="171"/>
      <c r="N252" s="15"/>
      <c r="O252" s="15"/>
      <c r="P252" s="310"/>
      <c r="Q252" s="310"/>
      <c r="R252" s="310"/>
    </row>
    <row r="253" spans="3:22" ht="15" customHeight="1" x14ac:dyDescent="0.25">
      <c r="C253" s="171"/>
      <c r="D253" s="171"/>
      <c r="E253" s="171"/>
      <c r="F253" s="171"/>
      <c r="G253" s="171"/>
      <c r="H253" s="171"/>
      <c r="I253" s="171"/>
      <c r="J253" s="171"/>
      <c r="K253" s="171"/>
      <c r="N253" s="15"/>
      <c r="O253" s="15"/>
      <c r="P253" s="310"/>
      <c r="Q253" s="310"/>
      <c r="R253" s="310"/>
    </row>
    <row r="254" spans="3:22" ht="15" customHeight="1" x14ac:dyDescent="0.25">
      <c r="C254" s="171"/>
      <c r="D254" s="171"/>
      <c r="E254" s="171"/>
      <c r="F254" s="171"/>
      <c r="G254" s="171"/>
      <c r="H254" s="171"/>
      <c r="I254" s="171"/>
      <c r="J254" s="171"/>
      <c r="K254" s="171"/>
      <c r="N254" s="15"/>
      <c r="O254" s="15"/>
      <c r="P254" s="310"/>
      <c r="Q254" s="310"/>
      <c r="R254" s="310"/>
      <c r="S254" s="363"/>
      <c r="T254" s="363"/>
      <c r="U254" s="363"/>
      <c r="V254" s="363"/>
    </row>
    <row r="255" spans="3:22" ht="15" customHeight="1" x14ac:dyDescent="0.25">
      <c r="C255" s="171"/>
      <c r="D255" s="171"/>
      <c r="E255" s="171"/>
      <c r="F255" s="171"/>
      <c r="G255" s="171"/>
      <c r="H255" s="171"/>
      <c r="I255" s="171"/>
      <c r="J255" s="171"/>
      <c r="K255" s="171"/>
      <c r="N255" s="15"/>
      <c r="O255" s="15"/>
      <c r="P255" s="307"/>
      <c r="Q255" s="307"/>
      <c r="R255" s="307"/>
    </row>
    <row r="256" spans="3:22" ht="15" customHeight="1" x14ac:dyDescent="0.25">
      <c r="C256" s="171"/>
      <c r="D256" s="171"/>
      <c r="E256" s="171"/>
      <c r="F256" s="171"/>
      <c r="G256" s="171"/>
      <c r="H256" s="171"/>
      <c r="I256" s="171"/>
      <c r="J256" s="171"/>
      <c r="K256" s="171"/>
      <c r="N256" s="15"/>
      <c r="O256" s="15"/>
      <c r="P256" s="307"/>
      <c r="Q256" s="307"/>
      <c r="R256" s="307"/>
    </row>
    <row r="257" spans="3:18" ht="15" customHeight="1" x14ac:dyDescent="0.25">
      <c r="C257" s="171"/>
      <c r="D257" s="171"/>
      <c r="E257" s="171"/>
      <c r="F257" s="171"/>
      <c r="G257" s="171"/>
      <c r="H257" s="171"/>
      <c r="I257" s="171"/>
      <c r="J257" s="171"/>
      <c r="K257" s="171"/>
      <c r="N257" s="15"/>
      <c r="O257" s="15"/>
      <c r="P257" s="307"/>
      <c r="Q257" s="307"/>
      <c r="R257" s="307"/>
    </row>
    <row r="258" spans="3:18" ht="15" customHeight="1" x14ac:dyDescent="0.25">
      <c r="C258" s="171"/>
      <c r="D258" s="171"/>
      <c r="E258" s="171"/>
      <c r="F258" s="171"/>
      <c r="G258" s="171"/>
      <c r="H258" s="171"/>
      <c r="I258" s="171"/>
      <c r="J258" s="171"/>
      <c r="K258" s="171"/>
      <c r="N258" s="15"/>
      <c r="O258" s="15"/>
      <c r="P258" s="288"/>
      <c r="Q258" s="15"/>
      <c r="R258" s="15"/>
    </row>
    <row r="259" spans="3:18" ht="15" customHeight="1" x14ac:dyDescent="0.25">
      <c r="C259" s="171"/>
      <c r="D259" s="171"/>
      <c r="E259" s="171"/>
      <c r="F259" s="171"/>
      <c r="G259" s="171"/>
      <c r="H259" s="171"/>
      <c r="I259" s="171"/>
      <c r="J259" s="171"/>
      <c r="K259" s="171"/>
      <c r="N259" s="15"/>
      <c r="O259" s="15"/>
      <c r="P259" s="15"/>
      <c r="Q259" s="15"/>
      <c r="R259" s="15"/>
    </row>
    <row r="260" spans="3:18" ht="15" customHeight="1" x14ac:dyDescent="0.25">
      <c r="C260" s="171"/>
      <c r="D260" s="171"/>
      <c r="E260" s="171"/>
      <c r="F260" s="171"/>
      <c r="G260" s="171"/>
      <c r="H260" s="171"/>
      <c r="I260" s="171"/>
      <c r="J260" s="171"/>
      <c r="K260" s="171"/>
      <c r="N260" s="15"/>
      <c r="O260" s="15"/>
      <c r="P260" s="311"/>
      <c r="Q260" s="15"/>
      <c r="R260" s="15"/>
    </row>
    <row r="261" spans="3:18" ht="15" customHeight="1" x14ac:dyDescent="0.25">
      <c r="C261" s="171"/>
      <c r="D261" s="171"/>
      <c r="E261" s="171"/>
      <c r="F261" s="171"/>
      <c r="G261" s="171"/>
      <c r="H261" s="171"/>
      <c r="I261" s="171"/>
      <c r="J261" s="171"/>
      <c r="K261" s="171"/>
      <c r="N261" s="15"/>
      <c r="O261" s="15"/>
      <c r="P261" s="15"/>
      <c r="Q261" s="15"/>
      <c r="R261" s="15"/>
    </row>
    <row r="262" spans="3:18" ht="15" customHeight="1" x14ac:dyDescent="0.25">
      <c r="C262" s="171"/>
      <c r="D262" s="171"/>
      <c r="E262" s="171"/>
      <c r="F262" s="171"/>
      <c r="G262" s="171"/>
      <c r="H262" s="171"/>
      <c r="I262" s="171"/>
      <c r="J262" s="171"/>
      <c r="K262" s="171"/>
      <c r="N262" s="15"/>
      <c r="O262" s="15"/>
      <c r="P262" s="15"/>
      <c r="Q262" s="15"/>
      <c r="R262" s="15"/>
    </row>
    <row r="263" spans="3:18" ht="15" customHeight="1" x14ac:dyDescent="0.25">
      <c r="C263" s="171"/>
      <c r="D263" s="171"/>
      <c r="E263" s="171"/>
      <c r="F263" s="171"/>
      <c r="G263" s="171"/>
      <c r="H263" s="171"/>
      <c r="I263" s="171"/>
      <c r="J263" s="171"/>
      <c r="K263" s="171"/>
      <c r="M263" s="68"/>
      <c r="N263" s="312"/>
      <c r="O263" s="68"/>
      <c r="P263" s="68"/>
      <c r="Q263" s="15"/>
      <c r="R263" s="15"/>
    </row>
    <row r="264" spans="3:18" ht="15" customHeight="1" x14ac:dyDescent="0.25">
      <c r="C264" s="171"/>
      <c r="D264" s="171"/>
      <c r="E264" s="171"/>
      <c r="F264" s="171"/>
      <c r="G264" s="171"/>
      <c r="H264" s="171"/>
      <c r="I264" s="171"/>
      <c r="J264" s="171"/>
      <c r="K264" s="171"/>
      <c r="M264" s="68"/>
      <c r="N264" s="231"/>
      <c r="O264" s="20"/>
      <c r="P264" s="68"/>
      <c r="Q264" s="15"/>
      <c r="R264" s="15"/>
    </row>
    <row r="265" spans="3:18" ht="15" customHeight="1" x14ac:dyDescent="0.25">
      <c r="C265" s="171"/>
      <c r="D265" s="171"/>
      <c r="E265" s="171"/>
      <c r="F265" s="171"/>
      <c r="G265" s="171"/>
      <c r="H265" s="171"/>
      <c r="I265" s="171"/>
      <c r="J265" s="171"/>
      <c r="K265" s="171"/>
      <c r="M265" s="68"/>
      <c r="N265" s="83"/>
      <c r="O265" s="68"/>
      <c r="P265" s="68"/>
      <c r="Q265" s="15"/>
      <c r="R265" s="15"/>
    </row>
    <row r="266" spans="3:18" ht="15" customHeight="1" x14ac:dyDescent="0.25">
      <c r="C266" s="171"/>
      <c r="D266" s="171"/>
      <c r="E266" s="171"/>
      <c r="F266" s="171"/>
      <c r="G266" s="171"/>
      <c r="H266" s="171"/>
      <c r="I266" s="171"/>
      <c r="J266" s="171"/>
      <c r="K266" s="171"/>
      <c r="M266" s="68"/>
      <c r="N266" s="83"/>
      <c r="O266" s="231"/>
      <c r="P266" s="231"/>
      <c r="Q266" s="15"/>
      <c r="R266" s="15"/>
    </row>
    <row r="267" spans="3:18" ht="15" customHeight="1" x14ac:dyDescent="0.25">
      <c r="C267" s="171"/>
      <c r="D267" s="171"/>
      <c r="E267" s="171"/>
      <c r="F267" s="171"/>
      <c r="G267" s="171"/>
      <c r="H267" s="171"/>
      <c r="I267" s="171"/>
      <c r="J267" s="171"/>
      <c r="K267" s="171"/>
      <c r="M267" s="68"/>
      <c r="N267" s="83"/>
      <c r="O267" s="68"/>
      <c r="P267" s="313"/>
      <c r="Q267" s="15"/>
      <c r="R267" s="15"/>
    </row>
    <row r="268" spans="3:18" ht="15" customHeight="1" x14ac:dyDescent="0.25">
      <c r="C268" s="171"/>
      <c r="D268" s="171"/>
      <c r="E268" s="171"/>
      <c r="F268" s="171"/>
      <c r="G268" s="171"/>
      <c r="H268" s="171"/>
      <c r="I268" s="171"/>
      <c r="J268" s="171"/>
      <c r="K268" s="171"/>
      <c r="M268" s="68"/>
      <c r="N268" s="83"/>
      <c r="O268" s="68"/>
      <c r="P268" s="68"/>
      <c r="Q268" s="15"/>
      <c r="R268" s="15"/>
    </row>
    <row r="269" spans="3:18" ht="15" customHeight="1" x14ac:dyDescent="0.25">
      <c r="C269" s="171"/>
      <c r="D269" s="171"/>
      <c r="E269" s="171"/>
      <c r="F269" s="171"/>
      <c r="G269" s="171"/>
      <c r="H269" s="171"/>
      <c r="I269" s="171"/>
      <c r="J269" s="171"/>
      <c r="K269" s="171"/>
      <c r="M269" s="68"/>
      <c r="N269" s="83"/>
      <c r="O269" s="68"/>
      <c r="P269" s="68"/>
      <c r="Q269" s="15"/>
      <c r="R269" s="15"/>
    </row>
    <row r="270" spans="3:18" ht="15" customHeight="1" x14ac:dyDescent="0.25">
      <c r="C270" s="171"/>
      <c r="D270" s="171"/>
      <c r="E270" s="171"/>
      <c r="F270" s="171"/>
      <c r="G270" s="171"/>
      <c r="H270" s="171"/>
      <c r="I270" s="171"/>
      <c r="J270" s="171"/>
      <c r="K270" s="171"/>
      <c r="M270" s="68"/>
      <c r="N270" s="83"/>
      <c r="O270" s="68"/>
      <c r="P270" s="68"/>
      <c r="Q270" s="15"/>
      <c r="R270" s="15"/>
    </row>
    <row r="271" spans="3:18" ht="15" customHeight="1" x14ac:dyDescent="0.25">
      <c r="C271" s="171"/>
      <c r="D271" s="171"/>
      <c r="E271" s="171"/>
      <c r="F271" s="171"/>
      <c r="G271" s="171"/>
      <c r="H271" s="171"/>
      <c r="I271" s="171"/>
      <c r="J271" s="171"/>
      <c r="K271" s="171"/>
      <c r="M271" s="68"/>
      <c r="N271" s="83"/>
      <c r="O271" s="68"/>
      <c r="P271" s="68"/>
      <c r="Q271" s="15"/>
      <c r="R271" s="15"/>
    </row>
    <row r="272" spans="3:18" ht="15" customHeight="1" x14ac:dyDescent="0.25">
      <c r="C272" s="171"/>
      <c r="D272" s="171"/>
      <c r="E272" s="171"/>
      <c r="F272" s="171"/>
      <c r="G272" s="171"/>
      <c r="H272" s="171"/>
      <c r="I272" s="171"/>
      <c r="J272" s="171"/>
      <c r="K272" s="171"/>
      <c r="M272" s="68"/>
      <c r="N272" s="68"/>
      <c r="O272" s="68"/>
      <c r="P272" s="68"/>
      <c r="Q272" s="15"/>
      <c r="R272" s="15"/>
    </row>
    <row r="273" spans="3:18" ht="15" customHeight="1" x14ac:dyDescent="0.25">
      <c r="C273" s="171"/>
      <c r="D273" s="171"/>
      <c r="E273" s="171"/>
      <c r="F273" s="171"/>
      <c r="G273" s="171"/>
      <c r="H273" s="171"/>
      <c r="I273" s="171"/>
      <c r="J273" s="171"/>
      <c r="K273" s="171"/>
      <c r="M273" s="68"/>
      <c r="N273" s="68"/>
      <c r="O273" s="68"/>
      <c r="P273" s="68"/>
      <c r="Q273" s="15"/>
      <c r="R273" s="15"/>
    </row>
    <row r="274" spans="3:18" ht="15" customHeight="1" x14ac:dyDescent="0.25">
      <c r="C274" s="171"/>
      <c r="D274" s="171"/>
      <c r="E274" s="171"/>
      <c r="F274" s="171"/>
      <c r="G274" s="171"/>
      <c r="H274" s="171"/>
      <c r="I274" s="171"/>
      <c r="J274" s="171"/>
      <c r="K274" s="171"/>
      <c r="M274" s="68"/>
      <c r="N274" s="314"/>
      <c r="O274" s="68"/>
      <c r="P274" s="83"/>
      <c r="Q274" s="15"/>
      <c r="R274" s="15"/>
    </row>
    <row r="275" spans="3:18" ht="15" customHeight="1" x14ac:dyDescent="0.25">
      <c r="C275" s="171"/>
      <c r="D275" s="171"/>
      <c r="E275" s="171"/>
      <c r="F275" s="171"/>
      <c r="G275" s="171"/>
      <c r="H275" s="171"/>
      <c r="I275" s="171"/>
      <c r="J275" s="171"/>
      <c r="K275" s="171"/>
      <c r="M275" s="68"/>
      <c r="N275" s="68"/>
      <c r="O275" s="68"/>
      <c r="P275" s="68"/>
      <c r="Q275" s="15"/>
      <c r="R275" s="15"/>
    </row>
    <row r="276" spans="3:18" ht="15" customHeight="1" x14ac:dyDescent="0.25">
      <c r="C276" s="171"/>
      <c r="D276" s="171"/>
      <c r="E276" s="171"/>
      <c r="F276" s="171"/>
      <c r="G276" s="171"/>
      <c r="H276" s="171"/>
      <c r="I276" s="171"/>
      <c r="J276" s="171"/>
      <c r="K276" s="171"/>
      <c r="M276" s="68"/>
      <c r="N276" s="68"/>
      <c r="O276" s="68"/>
      <c r="P276" s="68"/>
      <c r="Q276" s="15"/>
      <c r="R276" s="15"/>
    </row>
    <row r="277" spans="3:18" ht="15" customHeight="1" x14ac:dyDescent="0.25">
      <c r="C277" s="171"/>
      <c r="D277" s="171"/>
      <c r="E277" s="171"/>
      <c r="F277" s="171"/>
      <c r="G277" s="171"/>
      <c r="H277" s="171"/>
      <c r="I277" s="171"/>
      <c r="J277" s="171"/>
      <c r="K277" s="171"/>
      <c r="M277" s="68"/>
      <c r="N277" s="68"/>
      <c r="O277" s="68"/>
      <c r="P277" s="68"/>
      <c r="Q277" s="15"/>
      <c r="R277" s="15"/>
    </row>
    <row r="278" spans="3:18" ht="15" customHeight="1" x14ac:dyDescent="0.25">
      <c r="C278" s="171"/>
      <c r="D278" s="171"/>
      <c r="E278" s="171"/>
      <c r="F278" s="171"/>
      <c r="G278" s="171"/>
      <c r="H278" s="171"/>
      <c r="I278" s="171"/>
      <c r="J278" s="171"/>
      <c r="K278" s="171"/>
      <c r="M278" s="68"/>
      <c r="N278" s="68"/>
      <c r="O278" s="68"/>
      <c r="P278" s="68"/>
      <c r="Q278" s="15"/>
      <c r="R278" s="15"/>
    </row>
    <row r="279" spans="3:18" ht="15" customHeight="1" x14ac:dyDescent="0.25">
      <c r="C279" s="171"/>
      <c r="D279" s="171"/>
      <c r="E279" s="171"/>
      <c r="F279" s="171"/>
      <c r="G279" s="171"/>
      <c r="H279" s="171"/>
      <c r="I279" s="171"/>
      <c r="J279" s="171"/>
      <c r="K279" s="171"/>
      <c r="M279" s="68"/>
      <c r="N279" s="68"/>
      <c r="O279" s="68"/>
      <c r="P279" s="68"/>
      <c r="Q279" s="15"/>
      <c r="R279" s="15"/>
    </row>
    <row r="280" spans="3:18" ht="15" customHeight="1" x14ac:dyDescent="0.25">
      <c r="C280" s="171"/>
      <c r="D280" s="171"/>
      <c r="E280" s="171"/>
      <c r="F280" s="171"/>
      <c r="G280" s="171"/>
      <c r="H280" s="171"/>
      <c r="I280" s="171"/>
      <c r="J280" s="171"/>
      <c r="K280" s="171"/>
      <c r="M280" s="68"/>
      <c r="N280" s="68"/>
      <c r="O280" s="68"/>
      <c r="P280" s="68"/>
    </row>
    <row r="281" spans="3:18" ht="15" customHeight="1" x14ac:dyDescent="0.25">
      <c r="C281" s="171"/>
      <c r="D281" s="171"/>
      <c r="E281" s="171"/>
      <c r="F281" s="171"/>
      <c r="G281" s="171"/>
      <c r="H281" s="171"/>
      <c r="I281" s="171"/>
      <c r="J281" s="171"/>
      <c r="K281" s="171"/>
    </row>
    <row r="282" spans="3:18" ht="15" customHeight="1" x14ac:dyDescent="0.25">
      <c r="C282" s="171"/>
      <c r="D282" s="171"/>
      <c r="E282" s="171"/>
      <c r="F282" s="171"/>
      <c r="G282" s="171"/>
      <c r="H282" s="171"/>
      <c r="I282" s="171"/>
      <c r="J282" s="171"/>
      <c r="K282" s="171"/>
    </row>
    <row r="283" spans="3:18" ht="15" customHeight="1" x14ac:dyDescent="0.25">
      <c r="C283" s="171"/>
      <c r="D283" s="171"/>
      <c r="E283" s="171"/>
      <c r="F283" s="171"/>
      <c r="G283" s="171"/>
      <c r="H283" s="171"/>
      <c r="I283" s="171"/>
      <c r="J283" s="171"/>
      <c r="K283" s="171"/>
    </row>
    <row r="284" spans="3:18" ht="15" customHeight="1" x14ac:dyDescent="0.25">
      <c r="C284" s="171"/>
      <c r="D284" s="171"/>
      <c r="E284" s="171"/>
      <c r="F284" s="171"/>
      <c r="G284" s="171"/>
      <c r="H284" s="171"/>
      <c r="I284" s="171"/>
      <c r="J284" s="171"/>
      <c r="K284" s="171"/>
    </row>
    <row r="285" spans="3:18" ht="15" customHeight="1" x14ac:dyDescent="0.25">
      <c r="C285" s="171"/>
      <c r="D285" s="171"/>
      <c r="E285" s="171"/>
      <c r="F285" s="171"/>
      <c r="G285" s="171"/>
      <c r="H285" s="171"/>
      <c r="I285" s="171"/>
      <c r="J285" s="171"/>
      <c r="K285" s="171"/>
    </row>
    <row r="286" spans="3:18" ht="15" customHeight="1" x14ac:dyDescent="0.25">
      <c r="C286" s="171"/>
      <c r="D286" s="171"/>
      <c r="E286" s="171"/>
      <c r="F286" s="171"/>
      <c r="G286" s="171"/>
      <c r="H286" s="171"/>
      <c r="I286" s="171"/>
      <c r="J286" s="171"/>
      <c r="K286" s="171"/>
    </row>
    <row r="287" spans="3:18" ht="15" customHeight="1" x14ac:dyDescent="0.25">
      <c r="C287" s="171"/>
      <c r="D287" s="171"/>
      <c r="E287" s="171"/>
      <c r="F287" s="171"/>
      <c r="G287" s="171"/>
      <c r="H287" s="171"/>
      <c r="I287" s="171"/>
      <c r="J287" s="171"/>
      <c r="K287" s="171"/>
    </row>
    <row r="288" spans="3:18" ht="15" customHeight="1" x14ac:dyDescent="0.25">
      <c r="C288" s="171"/>
      <c r="D288" s="171"/>
      <c r="E288" s="171"/>
      <c r="F288" s="171"/>
      <c r="G288" s="171"/>
      <c r="H288" s="171"/>
      <c r="I288" s="171"/>
      <c r="J288" s="171"/>
      <c r="K288" s="171"/>
    </row>
    <row r="289" spans="3:11" ht="15" customHeight="1" x14ac:dyDescent="0.25">
      <c r="C289" s="171"/>
      <c r="D289" s="171"/>
      <c r="E289" s="171"/>
      <c r="F289" s="171"/>
      <c r="G289" s="171"/>
      <c r="H289" s="171"/>
      <c r="I289" s="171"/>
      <c r="J289" s="171"/>
      <c r="K289" s="171"/>
    </row>
    <row r="290" spans="3:11" ht="15" customHeight="1" x14ac:dyDescent="0.25">
      <c r="C290" s="171"/>
      <c r="D290" s="171"/>
      <c r="E290" s="171"/>
      <c r="F290" s="171"/>
      <c r="G290" s="171"/>
      <c r="H290" s="171"/>
      <c r="I290" s="171"/>
      <c r="J290" s="171"/>
      <c r="K290" s="171"/>
    </row>
    <row r="291" spans="3:11" ht="15" customHeight="1" x14ac:dyDescent="0.25">
      <c r="C291" s="171"/>
      <c r="D291" s="171"/>
      <c r="E291" s="171"/>
      <c r="F291" s="171"/>
      <c r="G291" s="171"/>
      <c r="H291" s="171"/>
      <c r="I291" s="171"/>
      <c r="J291" s="171"/>
      <c r="K291" s="171"/>
    </row>
    <row r="292" spans="3:11" ht="15" customHeight="1" x14ac:dyDescent="0.25">
      <c r="C292" s="171"/>
      <c r="D292" s="171"/>
      <c r="E292" s="171"/>
      <c r="F292" s="171"/>
      <c r="G292" s="171"/>
      <c r="H292" s="171"/>
      <c r="I292" s="171"/>
      <c r="J292" s="171"/>
      <c r="K292" s="171"/>
    </row>
    <row r="293" spans="3:11" ht="15" customHeight="1" x14ac:dyDescent="0.25">
      <c r="C293" s="171"/>
      <c r="D293" s="171"/>
      <c r="E293" s="171"/>
      <c r="F293" s="171"/>
      <c r="G293" s="171"/>
      <c r="H293" s="171"/>
      <c r="I293" s="171"/>
      <c r="J293" s="171"/>
      <c r="K293" s="171"/>
    </row>
    <row r="294" spans="3:11" ht="15" customHeight="1" x14ac:dyDescent="0.25">
      <c r="C294" s="171"/>
      <c r="D294" s="171"/>
      <c r="E294" s="171"/>
      <c r="F294" s="171"/>
      <c r="G294" s="171"/>
      <c r="H294" s="171"/>
      <c r="I294" s="171"/>
      <c r="J294" s="171"/>
      <c r="K294" s="171"/>
    </row>
    <row r="295" spans="3:11" ht="15" customHeight="1" x14ac:dyDescent="0.25">
      <c r="C295" s="171"/>
      <c r="D295" s="171"/>
      <c r="E295" s="171"/>
      <c r="F295" s="171"/>
      <c r="G295" s="171"/>
      <c r="H295" s="171"/>
      <c r="I295" s="171"/>
      <c r="J295" s="171"/>
      <c r="K295" s="171"/>
    </row>
    <row r="296" spans="3:11" ht="15" customHeight="1" x14ac:dyDescent="0.25">
      <c r="C296" s="171"/>
      <c r="D296" s="171"/>
      <c r="E296" s="171"/>
      <c r="F296" s="171"/>
      <c r="G296" s="171"/>
      <c r="H296" s="171"/>
      <c r="I296" s="171"/>
      <c r="J296" s="171"/>
      <c r="K296" s="171"/>
    </row>
    <row r="297" spans="3:11" ht="15" customHeight="1" x14ac:dyDescent="0.25">
      <c r="C297" s="171"/>
      <c r="D297" s="171"/>
      <c r="E297" s="171"/>
      <c r="F297" s="171"/>
      <c r="G297" s="171"/>
      <c r="H297" s="171"/>
      <c r="I297" s="171"/>
      <c r="J297" s="171"/>
      <c r="K297" s="171"/>
    </row>
    <row r="298" spans="3:11" ht="15" customHeight="1" x14ac:dyDescent="0.25">
      <c r="C298" s="171"/>
      <c r="D298" s="171"/>
      <c r="E298" s="171"/>
      <c r="F298" s="171"/>
      <c r="G298" s="171"/>
      <c r="H298" s="171"/>
      <c r="I298" s="171"/>
      <c r="J298" s="171"/>
      <c r="K298" s="171"/>
    </row>
    <row r="299" spans="3:11" ht="15" customHeight="1" x14ac:dyDescent="0.25">
      <c r="C299" s="171"/>
      <c r="D299" s="171"/>
      <c r="E299" s="171"/>
      <c r="F299" s="171"/>
      <c r="G299" s="171"/>
      <c r="H299" s="171"/>
      <c r="I299" s="171"/>
      <c r="J299" s="171"/>
      <c r="K299" s="171"/>
    </row>
    <row r="300" spans="3:11" ht="15" customHeight="1" x14ac:dyDescent="0.25">
      <c r="C300" s="171"/>
      <c r="D300" s="171"/>
      <c r="E300" s="171"/>
      <c r="F300" s="171"/>
      <c r="G300" s="171"/>
      <c r="H300" s="171"/>
      <c r="I300" s="171"/>
      <c r="J300" s="171"/>
      <c r="K300" s="171"/>
    </row>
    <row r="301" spans="3:11" ht="15" customHeight="1" x14ac:dyDescent="0.25">
      <c r="C301" s="171"/>
      <c r="D301" s="171"/>
      <c r="E301" s="171"/>
      <c r="F301" s="171"/>
      <c r="G301" s="171"/>
      <c r="H301" s="171"/>
      <c r="I301" s="171"/>
      <c r="J301" s="171"/>
      <c r="K301" s="171"/>
    </row>
    <row r="302" spans="3:11" x14ac:dyDescent="0.25">
      <c r="C302" s="171"/>
      <c r="D302" s="171"/>
      <c r="E302" s="171"/>
      <c r="F302" s="171"/>
      <c r="G302" s="171"/>
      <c r="H302" s="171"/>
      <c r="I302" s="171"/>
      <c r="J302" s="171"/>
      <c r="K302" s="171"/>
    </row>
    <row r="303" spans="3:11" x14ac:dyDescent="0.25">
      <c r="C303" s="171"/>
      <c r="D303" s="171"/>
      <c r="E303" s="171"/>
      <c r="F303" s="171"/>
      <c r="G303" s="171"/>
      <c r="H303" s="171"/>
      <c r="I303" s="171"/>
      <c r="J303" s="171"/>
      <c r="K303" s="171"/>
    </row>
    <row r="304" spans="3:11" x14ac:dyDescent="0.25">
      <c r="C304" s="171"/>
      <c r="D304" s="171"/>
      <c r="E304" s="171"/>
      <c r="F304" s="171"/>
      <c r="G304" s="171"/>
      <c r="H304" s="171"/>
      <c r="I304" s="171"/>
      <c r="J304" s="171"/>
      <c r="K304" s="171"/>
    </row>
    <row r="305" spans="3:11" x14ac:dyDescent="0.25">
      <c r="C305" s="171"/>
      <c r="D305" s="171"/>
      <c r="E305" s="171"/>
      <c r="F305" s="171"/>
      <c r="G305" s="171"/>
      <c r="H305" s="171"/>
      <c r="I305" s="171"/>
      <c r="J305" s="171"/>
      <c r="K305" s="171"/>
    </row>
    <row r="306" spans="3:11" x14ac:dyDescent="0.25">
      <c r="C306" s="171"/>
      <c r="D306" s="171"/>
      <c r="E306" s="171"/>
      <c r="F306" s="171"/>
      <c r="G306" s="171"/>
      <c r="H306" s="171"/>
      <c r="I306" s="171"/>
      <c r="J306" s="171"/>
      <c r="K306" s="171"/>
    </row>
    <row r="307" spans="3:11" x14ac:dyDescent="0.25">
      <c r="C307" s="171"/>
      <c r="D307" s="171"/>
      <c r="E307" s="171"/>
      <c r="F307" s="171"/>
      <c r="G307" s="171"/>
      <c r="H307" s="171"/>
      <c r="I307" s="171"/>
      <c r="J307" s="171"/>
      <c r="K307" s="171"/>
    </row>
    <row r="308" spans="3:11" x14ac:dyDescent="0.25">
      <c r="C308" s="171"/>
      <c r="D308" s="171"/>
      <c r="E308" s="171"/>
      <c r="F308" s="171"/>
      <c r="G308" s="171"/>
      <c r="H308" s="171"/>
      <c r="I308" s="171"/>
      <c r="J308" s="171"/>
      <c r="K308" s="171"/>
    </row>
    <row r="309" spans="3:11" x14ac:dyDescent="0.25">
      <c r="F309" s="171"/>
      <c r="G309" s="171"/>
      <c r="H309" s="171"/>
      <c r="I309" s="171"/>
      <c r="J309" s="171"/>
      <c r="K309" s="171"/>
    </row>
    <row r="310" spans="3:11" x14ac:dyDescent="0.25">
      <c r="F310" s="171"/>
      <c r="G310" s="171"/>
      <c r="H310" s="171"/>
      <c r="I310" s="171"/>
      <c r="J310" s="171"/>
      <c r="K310" s="171"/>
    </row>
    <row r="311" spans="3:11" x14ac:dyDescent="0.25">
      <c r="F311" s="171"/>
      <c r="G311" s="171"/>
      <c r="H311" s="171"/>
      <c r="I311" s="171"/>
      <c r="J311" s="171"/>
      <c r="K311" s="171"/>
    </row>
  </sheetData>
  <sheetProtection algorithmName="SHA-512" hashValue="t2Mp10JBHtU1k9QutYJVWgNZRxH3gC2LN1MyYhMGbCMQ8YzbCpvP9NNMdy6LsxXG5lURtuJvIp4bSH4tEdcHDA==" saltValue="PwMpequSyVaa5I3eZFOIqw==" spinCount="100000" sheet="1" objects="1" scenarios="1"/>
  <mergeCells count="6">
    <mergeCell ref="G48:J49"/>
    <mergeCell ref="C91:C93"/>
    <mergeCell ref="C75:D75"/>
    <mergeCell ref="I51:J51"/>
    <mergeCell ref="I53:J53"/>
    <mergeCell ref="I54:J54"/>
  </mergeCells>
  <dataValidations count="6">
    <dataValidation showInputMessage="1" showErrorMessage="1" sqref="H52 E52"/>
    <dataValidation type="list" allowBlank="1" showInputMessage="1" showErrorMessage="1" sqref="G91">
      <formula1>$R$93:$R$103</formula1>
    </dataValidation>
    <dataValidation type="list" showInputMessage="1" showErrorMessage="1" sqref="E44">
      <formula1>$N$26:$N$27</formula1>
    </dataValidation>
    <dataValidation type="list" allowBlank="1" showInputMessage="1" showErrorMessage="1" sqref="E34:E35">
      <formula1>$P$42:$P$46</formula1>
    </dataValidation>
    <dataValidation type="list" allowBlank="1" showInputMessage="1" showErrorMessage="1" sqref="E40 E36">
      <formula1>$P$36:$P$46</formula1>
    </dataValidation>
    <dataValidation type="list" allowBlank="1" showErrorMessage="1" sqref="E49">
      <formula1>$V$70:$V$71</formula1>
    </dataValidation>
  </dataValidations>
  <pageMargins left="0.7" right="0.7" top="0.78740157499999996" bottom="0.78740157499999996" header="0.3" footer="0.3"/>
  <pageSetup paperSize="8" scale="26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3ACE0"/>
    <pageSetUpPr fitToPage="1"/>
  </sheetPr>
  <dimension ref="A1:BF263"/>
  <sheetViews>
    <sheetView showGridLines="0" zoomScale="85" zoomScaleNormal="85" workbookViewId="0">
      <pane ySplit="6" topLeftCell="A8" activePane="bottomLeft" state="frozen"/>
      <selection pane="bottomLeft" activeCell="L53" sqref="L53"/>
    </sheetView>
  </sheetViews>
  <sheetFormatPr baseColWidth="10" defaultColWidth="11.42578125" defaultRowHeight="15" x14ac:dyDescent="0.25"/>
  <cols>
    <col min="1" max="1" width="3.7109375" style="171" customWidth="1"/>
    <col min="2" max="2" width="7.140625" style="171" customWidth="1"/>
    <col min="3" max="3" width="52.7109375" style="37" customWidth="1"/>
    <col min="4" max="4" width="12.140625" style="37" customWidth="1"/>
    <col min="5" max="5" width="12.5703125" style="37" customWidth="1"/>
    <col min="6" max="6" width="18.5703125" style="37" customWidth="1"/>
    <col min="7" max="7" width="11.5703125" style="37" customWidth="1"/>
    <col min="8" max="8" width="15.7109375" style="37" customWidth="1"/>
    <col min="9" max="9" width="12.85546875" style="37" customWidth="1"/>
    <col min="10" max="10" width="11.85546875" style="37" customWidth="1"/>
    <col min="11" max="11" width="11.28515625" style="37" customWidth="1"/>
    <col min="12" max="12" width="6.42578125" style="37" customWidth="1"/>
    <col min="13" max="13" width="24.5703125" style="37" customWidth="1"/>
    <col min="14" max="14" width="19.140625" style="37" customWidth="1"/>
    <col min="15" max="15" width="136.140625" style="171" customWidth="1"/>
    <col min="16" max="52" width="15.5703125" style="68" customWidth="1"/>
    <col min="53" max="57" width="11.42578125" style="68"/>
    <col min="58" max="16384" width="11.42578125" style="37"/>
  </cols>
  <sheetData>
    <row r="1" spans="2:21" x14ac:dyDescent="0.25">
      <c r="B1" s="68"/>
      <c r="D1" s="174"/>
    </row>
    <row r="2" spans="2:21" ht="23.25" x14ac:dyDescent="0.25">
      <c r="B2" s="68"/>
      <c r="C2" s="175"/>
      <c r="D2" s="175"/>
    </row>
    <row r="3" spans="2:21" x14ac:dyDescent="0.25">
      <c r="B3" s="68"/>
      <c r="L3" s="176" t="s">
        <v>5</v>
      </c>
      <c r="M3" s="176"/>
    </row>
    <row r="4" spans="2:21" x14ac:dyDescent="0.25">
      <c r="B4" s="68"/>
      <c r="L4" s="177" t="s">
        <v>1841</v>
      </c>
      <c r="M4" s="177"/>
    </row>
    <row r="5" spans="2:21" x14ac:dyDescent="0.25">
      <c r="B5" s="68"/>
      <c r="L5" s="178" t="s">
        <v>1829</v>
      </c>
      <c r="M5" s="178"/>
    </row>
    <row r="6" spans="2:21" x14ac:dyDescent="0.25">
      <c r="B6" s="68"/>
      <c r="L6" s="315"/>
      <c r="M6" s="315"/>
      <c r="N6" s="64"/>
    </row>
    <row r="7" spans="2:21" x14ac:dyDescent="0.25"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21" ht="15.75" customHeight="1" x14ac:dyDescent="0.25"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S8" s="243" t="s">
        <v>86</v>
      </c>
      <c r="T8" s="244"/>
      <c r="U8" s="245">
        <f>K31</f>
        <v>40000</v>
      </c>
    </row>
    <row r="9" spans="2:21" ht="15" customHeight="1" x14ac:dyDescent="0.25">
      <c r="B9" s="179"/>
      <c r="C9" s="10" t="s">
        <v>92</v>
      </c>
      <c r="S9" s="246" t="s">
        <v>87</v>
      </c>
      <c r="U9" s="248">
        <f>Abwärmequellen!E79</f>
        <v>0.02</v>
      </c>
    </row>
    <row r="10" spans="2:21" ht="15" customHeight="1" x14ac:dyDescent="0.25">
      <c r="B10" s="179"/>
      <c r="C10" s="10"/>
      <c r="S10" s="246"/>
      <c r="U10" s="248"/>
    </row>
    <row r="11" spans="2:21" ht="15" customHeight="1" x14ac:dyDescent="0.25">
      <c r="B11" s="179"/>
      <c r="C11" s="316" t="s">
        <v>1845</v>
      </c>
      <c r="S11" s="246"/>
      <c r="U11" s="248"/>
    </row>
    <row r="12" spans="2:21" ht="15" customHeight="1" x14ac:dyDescent="0.25">
      <c r="B12" s="179"/>
      <c r="C12" s="11"/>
      <c r="S12" s="246"/>
      <c r="U12" s="248"/>
    </row>
    <row r="13" spans="2:21" ht="15" customHeight="1" x14ac:dyDescent="0.25">
      <c r="B13" s="179"/>
      <c r="C13" s="11" t="s">
        <v>1846</v>
      </c>
      <c r="S13" s="246"/>
      <c r="U13" s="248"/>
    </row>
    <row r="14" spans="2:21" ht="30" x14ac:dyDescent="0.25">
      <c r="B14" s="179"/>
      <c r="C14" s="317" t="s">
        <v>1847</v>
      </c>
      <c r="S14" s="95" t="s">
        <v>88</v>
      </c>
      <c r="U14" s="247">
        <f>D21</f>
        <v>9819.0863957879283</v>
      </c>
    </row>
    <row r="15" spans="2:21" ht="16.5" thickBot="1" x14ac:dyDescent="0.3">
      <c r="B15" s="179"/>
      <c r="C15" s="317"/>
      <c r="S15" s="95"/>
      <c r="U15" s="247"/>
    </row>
    <row r="16" spans="2:21" ht="18.95" customHeight="1" x14ac:dyDescent="0.25">
      <c r="B16" s="179"/>
      <c r="C16" s="471" t="s">
        <v>1848</v>
      </c>
      <c r="D16" s="498"/>
      <c r="E16" s="182"/>
      <c r="F16" s="182"/>
      <c r="G16" s="182"/>
      <c r="H16" s="183"/>
      <c r="S16" s="95"/>
      <c r="U16" s="247"/>
    </row>
    <row r="17" spans="2:21" ht="15.75" x14ac:dyDescent="0.25">
      <c r="B17" s="179"/>
      <c r="C17" s="111"/>
      <c r="H17" s="184"/>
      <c r="S17" s="95" t="s">
        <v>89</v>
      </c>
      <c r="U17" s="247">
        <f>K34</f>
        <v>10</v>
      </c>
    </row>
    <row r="18" spans="2:21" ht="32.25" customHeight="1" x14ac:dyDescent="0.25">
      <c r="B18" s="179"/>
      <c r="C18" s="464" t="s">
        <v>1879</v>
      </c>
      <c r="D18" s="70">
        <f>Abwärmequellen!E62</f>
        <v>218.20191990639839</v>
      </c>
      <c r="E18" s="37" t="s">
        <v>2</v>
      </c>
      <c r="F18" s="71"/>
      <c r="H18" s="184"/>
      <c r="S18" s="95"/>
      <c r="U18" s="253"/>
    </row>
    <row r="19" spans="2:21" ht="30" customHeight="1" x14ac:dyDescent="0.25">
      <c r="B19" s="179"/>
      <c r="C19" s="465" t="s">
        <v>122</v>
      </c>
      <c r="D19" s="452">
        <v>25</v>
      </c>
      <c r="E19" s="37" t="s">
        <v>1</v>
      </c>
      <c r="F19" s="511" t="s">
        <v>1880</v>
      </c>
      <c r="G19" s="511"/>
      <c r="H19" s="184"/>
      <c r="S19" s="95"/>
      <c r="U19" s="253"/>
    </row>
    <row r="20" spans="2:21" ht="35.25" customHeight="1" x14ac:dyDescent="0.25">
      <c r="B20" s="179"/>
      <c r="C20" s="466" t="s">
        <v>1878</v>
      </c>
      <c r="D20" s="452"/>
      <c r="E20" s="37" t="s">
        <v>56</v>
      </c>
      <c r="F20" s="462">
        <v>18</v>
      </c>
      <c r="G20" s="10" t="s">
        <v>123</v>
      </c>
      <c r="H20" s="184"/>
      <c r="M20" s="71"/>
      <c r="S20" s="95" t="s">
        <v>90</v>
      </c>
      <c r="U20" s="254">
        <f>IRR(U23:U72)</f>
        <v>0.19671295321992432</v>
      </c>
    </row>
    <row r="21" spans="2:21" ht="18.95" customHeight="1" thickBot="1" x14ac:dyDescent="0.3">
      <c r="B21" s="179"/>
      <c r="C21" s="467" t="s">
        <v>93</v>
      </c>
      <c r="D21" s="468">
        <f>IF(F20="",D18*D19/100*D20,D18*D19*F20/10)</f>
        <v>9819.0863957879283</v>
      </c>
      <c r="E21" s="469" t="s">
        <v>83</v>
      </c>
      <c r="F21" s="470"/>
      <c r="G21" s="470"/>
      <c r="H21" s="209"/>
      <c r="I21" s="68"/>
      <c r="S21" s="95"/>
      <c r="U21" s="253"/>
    </row>
    <row r="22" spans="2:21" ht="15" customHeight="1" x14ac:dyDescent="0.25">
      <c r="B22" s="179"/>
      <c r="C22" s="45"/>
      <c r="D22" s="187"/>
      <c r="F22" s="92"/>
      <c r="G22" s="68"/>
      <c r="H22" s="68"/>
      <c r="I22" s="68"/>
      <c r="J22" s="68"/>
      <c r="K22" s="68"/>
      <c r="S22" s="95"/>
      <c r="T22" s="68" t="s">
        <v>91</v>
      </c>
      <c r="U22" s="253" t="s">
        <v>90</v>
      </c>
    </row>
    <row r="23" spans="2:21" ht="15" customHeight="1" x14ac:dyDescent="0.25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S23" s="95"/>
      <c r="T23" s="68">
        <v>1</v>
      </c>
      <c r="U23" s="247">
        <f>-U8</f>
        <v>-40000</v>
      </c>
    </row>
    <row r="24" spans="2:21" ht="15" customHeight="1" thickBot="1" x14ac:dyDescent="0.3">
      <c r="B24" s="179"/>
      <c r="C24" s="44"/>
      <c r="G24" s="68"/>
      <c r="H24" s="83"/>
      <c r="I24" s="169"/>
      <c r="J24" s="68"/>
      <c r="K24" s="68"/>
      <c r="L24" s="10"/>
      <c r="S24" s="95"/>
      <c r="T24" s="68">
        <v>2</v>
      </c>
      <c r="U24" s="253">
        <f t="shared" ref="U24:U55" si="0">IF(T23&lt;$K$34,$U$14,"")</f>
        <v>9819.0863957879283</v>
      </c>
    </row>
    <row r="25" spans="2:21" ht="15" customHeight="1" x14ac:dyDescent="0.25">
      <c r="B25" s="179"/>
      <c r="C25" s="508" t="s">
        <v>98</v>
      </c>
      <c r="D25" s="509"/>
      <c r="E25" s="509"/>
      <c r="F25" s="509"/>
      <c r="G25" s="509"/>
      <c r="H25" s="509"/>
      <c r="I25" s="509"/>
      <c r="J25" s="509"/>
      <c r="K25" s="509"/>
      <c r="L25" s="509"/>
      <c r="M25" s="510"/>
      <c r="S25" s="95"/>
      <c r="T25" s="68">
        <v>3</v>
      </c>
      <c r="U25" s="253">
        <f t="shared" si="0"/>
        <v>9819.0863957879283</v>
      </c>
    </row>
    <row r="26" spans="2:21" ht="15" customHeight="1" x14ac:dyDescent="0.25">
      <c r="B26" s="179"/>
      <c r="C26" s="111"/>
      <c r="M26" s="184"/>
      <c r="S26" s="95"/>
      <c r="T26" s="68">
        <v>4</v>
      </c>
      <c r="U26" s="253">
        <f t="shared" si="0"/>
        <v>9819.0863957879283</v>
      </c>
    </row>
    <row r="27" spans="2:21" ht="15" customHeight="1" x14ac:dyDescent="0.25">
      <c r="B27" s="179"/>
      <c r="C27" s="111"/>
      <c r="M27" s="184"/>
      <c r="S27" s="95"/>
      <c r="T27" s="68">
        <v>5</v>
      </c>
      <c r="U27" s="253">
        <f t="shared" si="0"/>
        <v>9819.0863957879283</v>
      </c>
    </row>
    <row r="28" spans="2:21" ht="15" customHeight="1" x14ac:dyDescent="0.25">
      <c r="B28" s="179"/>
      <c r="C28" s="111"/>
      <c r="M28" s="184"/>
      <c r="S28" s="95"/>
      <c r="T28" s="68">
        <v>6</v>
      </c>
      <c r="U28" s="253">
        <f t="shared" si="0"/>
        <v>9819.0863957879283</v>
      </c>
    </row>
    <row r="29" spans="2:21" ht="15" customHeight="1" x14ac:dyDescent="0.25">
      <c r="B29" s="179"/>
      <c r="C29" s="111"/>
      <c r="M29" s="184"/>
      <c r="S29" s="95"/>
      <c r="T29" s="68">
        <v>7</v>
      </c>
      <c r="U29" s="253">
        <f t="shared" si="0"/>
        <v>9819.0863957879283</v>
      </c>
    </row>
    <row r="30" spans="2:21" ht="15" customHeight="1" thickBot="1" x14ac:dyDescent="0.3">
      <c r="B30" s="68"/>
      <c r="C30" s="433"/>
      <c r="D30" s="68"/>
      <c r="E30" s="68"/>
      <c r="F30" s="68"/>
      <c r="G30" s="68"/>
      <c r="H30" s="68"/>
      <c r="I30" s="68"/>
      <c r="J30" s="68"/>
      <c r="K30" s="68"/>
      <c r="L30" s="68"/>
      <c r="M30" s="199"/>
      <c r="N30" s="68"/>
      <c r="S30" s="95"/>
      <c r="T30" s="68">
        <v>8</v>
      </c>
      <c r="U30" s="253">
        <f t="shared" si="0"/>
        <v>9819.0863957879283</v>
      </c>
    </row>
    <row r="31" spans="2:21" ht="48" customHeight="1" x14ac:dyDescent="0.25">
      <c r="B31" s="179"/>
      <c r="C31" s="471" t="s">
        <v>59</v>
      </c>
      <c r="D31" s="472"/>
      <c r="E31" s="472"/>
      <c r="F31" s="473"/>
      <c r="G31" s="68"/>
      <c r="H31" s="481" t="s">
        <v>94</v>
      </c>
      <c r="I31" s="182"/>
      <c r="J31" s="182"/>
      <c r="K31" s="482">
        <v>40000</v>
      </c>
      <c r="L31" s="182" t="s">
        <v>84</v>
      </c>
      <c r="M31" s="483"/>
      <c r="S31" s="95"/>
      <c r="T31" s="68">
        <v>9</v>
      </c>
      <c r="U31" s="253">
        <f t="shared" si="0"/>
        <v>9819.0863957879283</v>
      </c>
    </row>
    <row r="32" spans="2:21" ht="18.95" customHeight="1" x14ac:dyDescent="0.25">
      <c r="B32" s="179"/>
      <c r="C32" s="474"/>
      <c r="D32" s="318"/>
      <c r="E32" s="318"/>
      <c r="F32" s="475"/>
      <c r="G32" s="68"/>
      <c r="H32" s="107" t="s">
        <v>95</v>
      </c>
      <c r="I32" s="100"/>
      <c r="J32" s="100"/>
      <c r="K32" s="101">
        <f>IFERROR(K31/D21,0)</f>
        <v>4.0736987523766679</v>
      </c>
      <c r="L32" s="44" t="s">
        <v>0</v>
      </c>
      <c r="M32" s="484"/>
      <c r="S32" s="95"/>
      <c r="T32" s="68">
        <v>10</v>
      </c>
      <c r="U32" s="253">
        <f t="shared" si="0"/>
        <v>9819.0863957879283</v>
      </c>
    </row>
    <row r="33" spans="2:21" ht="18.95" customHeight="1" x14ac:dyDescent="0.25">
      <c r="B33" s="179"/>
      <c r="C33" s="433" t="s">
        <v>60</v>
      </c>
      <c r="D33" s="459">
        <f>Abwärmequellen!E72</f>
        <v>5</v>
      </c>
      <c r="E33" s="37" t="s">
        <v>0</v>
      </c>
      <c r="F33" s="184"/>
      <c r="G33" s="68"/>
      <c r="H33" s="506" t="s">
        <v>124</v>
      </c>
      <c r="I33" s="507"/>
      <c r="J33" s="507"/>
      <c r="K33" s="99"/>
      <c r="L33" s="44"/>
      <c r="M33" s="484"/>
      <c r="S33" s="95"/>
      <c r="T33" s="68">
        <v>11</v>
      </c>
      <c r="U33" s="253" t="str">
        <f t="shared" si="0"/>
        <v/>
      </c>
    </row>
    <row r="34" spans="2:21" ht="18.95" customHeight="1" x14ac:dyDescent="0.25">
      <c r="B34" s="179"/>
      <c r="C34" s="111"/>
      <c r="F34" s="184"/>
      <c r="G34" s="68"/>
      <c r="H34" s="506"/>
      <c r="I34" s="507"/>
      <c r="J34" s="507"/>
      <c r="K34" s="463">
        <v>10</v>
      </c>
      <c r="L34" s="53" t="s">
        <v>0</v>
      </c>
      <c r="M34" s="266"/>
      <c r="S34" s="95"/>
      <c r="T34" s="68">
        <v>12</v>
      </c>
      <c r="U34" s="253" t="str">
        <f t="shared" si="0"/>
        <v/>
      </c>
    </row>
    <row r="35" spans="2:21" ht="48" customHeight="1" x14ac:dyDescent="0.25">
      <c r="B35" s="179"/>
      <c r="C35" s="476" t="s">
        <v>97</v>
      </c>
      <c r="D35" s="97"/>
      <c r="E35" s="97"/>
      <c r="F35" s="477"/>
      <c r="G35" s="68"/>
      <c r="H35" s="107" t="s">
        <v>1868</v>
      </c>
      <c r="I35" s="100"/>
      <c r="J35" s="100"/>
      <c r="K35" s="102">
        <f>IFERROR(U20,0)</f>
        <v>0.19671295321992432</v>
      </c>
      <c r="M35" s="266"/>
      <c r="S35" s="95"/>
      <c r="T35" s="68">
        <v>13</v>
      </c>
      <c r="U35" s="253" t="str">
        <f t="shared" si="0"/>
        <v/>
      </c>
    </row>
    <row r="36" spans="2:21" ht="14.1" customHeight="1" x14ac:dyDescent="0.25">
      <c r="B36" s="179"/>
      <c r="C36" s="474"/>
      <c r="D36" s="318"/>
      <c r="E36" s="318"/>
      <c r="F36" s="475"/>
      <c r="G36" s="68"/>
      <c r="H36" s="485"/>
      <c r="I36" s="64"/>
      <c r="J36" s="64"/>
      <c r="K36" s="320"/>
      <c r="L36" s="44"/>
      <c r="M36" s="184"/>
      <c r="S36" s="95"/>
      <c r="T36" s="68">
        <v>14</v>
      </c>
      <c r="U36" s="253" t="str">
        <f t="shared" si="0"/>
        <v/>
      </c>
    </row>
    <row r="37" spans="2:21" ht="34.5" customHeight="1" thickBot="1" x14ac:dyDescent="0.3">
      <c r="B37" s="179"/>
      <c r="C37" s="478" t="s">
        <v>1840</v>
      </c>
      <c r="D37" s="479">
        <f>D21*D33</f>
        <v>49095.43197893964</v>
      </c>
      <c r="E37" s="480" t="s">
        <v>1830</v>
      </c>
      <c r="F37" s="209"/>
      <c r="G37" s="208"/>
      <c r="H37" s="205"/>
      <c r="I37" s="206"/>
      <c r="J37" s="206"/>
      <c r="K37" s="486" t="s">
        <v>96</v>
      </c>
      <c r="L37" s="206"/>
      <c r="M37" s="487"/>
      <c r="S37" s="95"/>
      <c r="T37" s="68">
        <v>15</v>
      </c>
      <c r="U37" s="253" t="str">
        <f t="shared" si="0"/>
        <v/>
      </c>
    </row>
    <row r="38" spans="2:21" ht="15" customHeight="1" x14ac:dyDescent="0.25">
      <c r="B38" s="179"/>
      <c r="C38" s="68"/>
      <c r="D38" s="68"/>
      <c r="E38" s="68"/>
      <c r="G38" s="68"/>
      <c r="S38" s="95"/>
      <c r="T38" s="68">
        <v>16</v>
      </c>
      <c r="U38" s="253" t="str">
        <f t="shared" si="0"/>
        <v/>
      </c>
    </row>
    <row r="39" spans="2:21" ht="18.95" customHeight="1" x14ac:dyDescent="0.25">
      <c r="B39" s="179"/>
      <c r="C39" s="68"/>
      <c r="D39" s="68"/>
      <c r="E39" s="68"/>
      <c r="F39" s="68"/>
      <c r="G39" s="68"/>
      <c r="S39" s="95"/>
      <c r="T39" s="68">
        <v>17</v>
      </c>
      <c r="U39" s="253" t="str">
        <f t="shared" si="0"/>
        <v/>
      </c>
    </row>
    <row r="40" spans="2:21" ht="15" customHeight="1" x14ac:dyDescent="0.25">
      <c r="B40" s="322"/>
      <c r="C40" s="64"/>
      <c r="D40" s="64"/>
      <c r="E40" s="64"/>
      <c r="F40" s="64"/>
      <c r="G40" s="64"/>
      <c r="S40" s="95"/>
      <c r="T40" s="68">
        <v>18</v>
      </c>
      <c r="U40" s="253" t="str">
        <f t="shared" si="0"/>
        <v/>
      </c>
    </row>
    <row r="41" spans="2:21" ht="15" customHeight="1" x14ac:dyDescent="0.25">
      <c r="B41" s="322"/>
      <c r="C41" s="64"/>
      <c r="D41" s="64"/>
      <c r="E41" s="64"/>
      <c r="F41" s="64"/>
      <c r="G41" s="64"/>
      <c r="H41" s="81"/>
      <c r="I41" s="81"/>
      <c r="J41" s="198"/>
      <c r="K41" s="81"/>
      <c r="S41" s="95"/>
      <c r="T41" s="68">
        <v>19</v>
      </c>
      <c r="U41" s="253" t="str">
        <f t="shared" si="0"/>
        <v/>
      </c>
    </row>
    <row r="42" spans="2:21" ht="15" customHeight="1" x14ac:dyDescent="0.25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S42" s="95"/>
      <c r="T42" s="68">
        <v>20</v>
      </c>
      <c r="U42" s="253" t="str">
        <f t="shared" si="0"/>
        <v/>
      </c>
    </row>
    <row r="43" spans="2:21" ht="15" customHeight="1" x14ac:dyDescent="0.25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S43" s="95"/>
      <c r="T43" s="68">
        <v>21</v>
      </c>
      <c r="U43" s="253" t="str">
        <f t="shared" si="0"/>
        <v/>
      </c>
    </row>
    <row r="44" spans="2:21" ht="15" customHeight="1" x14ac:dyDescent="0.25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S44" s="95"/>
      <c r="T44" s="68">
        <v>22</v>
      </c>
      <c r="U44" s="253" t="str">
        <f t="shared" si="0"/>
        <v/>
      </c>
    </row>
    <row r="45" spans="2:21" ht="15" customHeight="1" x14ac:dyDescent="0.25"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S45" s="95"/>
      <c r="T45" s="68">
        <v>23</v>
      </c>
      <c r="U45" s="253" t="str">
        <f t="shared" si="0"/>
        <v/>
      </c>
    </row>
    <row r="46" spans="2:21" ht="15" customHeight="1" x14ac:dyDescent="0.25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S46" s="95"/>
      <c r="T46" s="68">
        <v>24</v>
      </c>
      <c r="U46" s="253" t="str">
        <f t="shared" si="0"/>
        <v/>
      </c>
    </row>
    <row r="47" spans="2:21" ht="15" customHeight="1" x14ac:dyDescent="0.25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S47" s="95"/>
      <c r="T47" s="68">
        <v>25</v>
      </c>
      <c r="U47" s="253" t="str">
        <f t="shared" si="0"/>
        <v/>
      </c>
    </row>
    <row r="48" spans="2:21" ht="15" customHeight="1" x14ac:dyDescent="0.25"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S48" s="95"/>
      <c r="T48" s="68">
        <v>26</v>
      </c>
      <c r="U48" s="253" t="str">
        <f t="shared" si="0"/>
        <v/>
      </c>
    </row>
    <row r="49" spans="3:21" ht="15" customHeight="1" x14ac:dyDescent="0.25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S49" s="95"/>
      <c r="T49" s="68">
        <v>27</v>
      </c>
      <c r="U49" s="253" t="str">
        <f t="shared" si="0"/>
        <v/>
      </c>
    </row>
    <row r="50" spans="3:21" ht="15" customHeight="1" x14ac:dyDescent="0.25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S50" s="95"/>
      <c r="T50" s="68">
        <v>28</v>
      </c>
      <c r="U50" s="253" t="str">
        <f t="shared" si="0"/>
        <v/>
      </c>
    </row>
    <row r="51" spans="3:21" ht="15" customHeight="1" x14ac:dyDescent="0.25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S51" s="95"/>
      <c r="T51" s="68">
        <v>29</v>
      </c>
      <c r="U51" s="253" t="str">
        <f t="shared" si="0"/>
        <v/>
      </c>
    </row>
    <row r="52" spans="3:21" ht="15" customHeight="1" x14ac:dyDescent="0.25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S52" s="95"/>
      <c r="T52" s="68">
        <v>30</v>
      </c>
      <c r="U52" s="253" t="str">
        <f t="shared" si="0"/>
        <v/>
      </c>
    </row>
    <row r="53" spans="3:21" ht="15" customHeight="1" x14ac:dyDescent="0.25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S53" s="95"/>
      <c r="T53" s="68">
        <v>31</v>
      </c>
      <c r="U53" s="253" t="str">
        <f t="shared" si="0"/>
        <v/>
      </c>
    </row>
    <row r="54" spans="3:21" ht="15" customHeight="1" x14ac:dyDescent="0.25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S54" s="95"/>
      <c r="T54" s="68">
        <v>32</v>
      </c>
      <c r="U54" s="253" t="str">
        <f t="shared" si="0"/>
        <v/>
      </c>
    </row>
    <row r="55" spans="3:21" ht="15" customHeight="1" x14ac:dyDescent="0.25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S55" s="95"/>
      <c r="T55" s="68">
        <v>33</v>
      </c>
      <c r="U55" s="253" t="str">
        <f t="shared" si="0"/>
        <v/>
      </c>
    </row>
    <row r="56" spans="3:21" ht="15" customHeight="1" x14ac:dyDescent="0.25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S56" s="95"/>
      <c r="T56" s="68">
        <v>34</v>
      </c>
      <c r="U56" s="253" t="str">
        <f t="shared" ref="U56:U72" si="1">IF(T55&lt;$K$34,$U$14,"")</f>
        <v/>
      </c>
    </row>
    <row r="57" spans="3:21" ht="15" customHeight="1" x14ac:dyDescent="0.25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S57" s="95"/>
      <c r="T57" s="68">
        <v>35</v>
      </c>
      <c r="U57" s="253" t="str">
        <f t="shared" si="1"/>
        <v/>
      </c>
    </row>
    <row r="58" spans="3:21" ht="15" customHeight="1" x14ac:dyDescent="0.25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S58" s="95"/>
      <c r="T58" s="68">
        <v>36</v>
      </c>
      <c r="U58" s="253" t="str">
        <f t="shared" si="1"/>
        <v/>
      </c>
    </row>
    <row r="59" spans="3:21" ht="15" customHeight="1" x14ac:dyDescent="0.25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S59" s="95"/>
      <c r="T59" s="68">
        <v>37</v>
      </c>
      <c r="U59" s="253" t="str">
        <f t="shared" si="1"/>
        <v/>
      </c>
    </row>
    <row r="60" spans="3:21" ht="15" customHeight="1" x14ac:dyDescent="0.25"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S60" s="95"/>
      <c r="T60" s="68">
        <v>38</v>
      </c>
      <c r="U60" s="253" t="str">
        <f t="shared" si="1"/>
        <v/>
      </c>
    </row>
    <row r="61" spans="3:21" ht="15" customHeight="1" x14ac:dyDescent="0.25"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S61" s="95"/>
      <c r="T61" s="68">
        <v>39</v>
      </c>
      <c r="U61" s="253" t="str">
        <f t="shared" si="1"/>
        <v/>
      </c>
    </row>
    <row r="62" spans="3:21" ht="15" customHeight="1" x14ac:dyDescent="0.25"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S62" s="95"/>
      <c r="T62" s="68">
        <v>40</v>
      </c>
      <c r="U62" s="253" t="str">
        <f t="shared" si="1"/>
        <v/>
      </c>
    </row>
    <row r="63" spans="3:21" ht="15" customHeight="1" x14ac:dyDescent="0.25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S63" s="95"/>
      <c r="T63" s="68">
        <v>41</v>
      </c>
      <c r="U63" s="253" t="str">
        <f t="shared" si="1"/>
        <v/>
      </c>
    </row>
    <row r="64" spans="3:21" ht="15" customHeight="1" x14ac:dyDescent="0.25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S64" s="95"/>
      <c r="T64" s="68">
        <v>42</v>
      </c>
      <c r="U64" s="253" t="str">
        <f t="shared" si="1"/>
        <v/>
      </c>
    </row>
    <row r="65" spans="3:52" ht="15" customHeight="1" x14ac:dyDescent="0.25"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S65" s="95"/>
      <c r="T65" s="68">
        <v>43</v>
      </c>
      <c r="U65" s="253" t="str">
        <f t="shared" si="1"/>
        <v/>
      </c>
    </row>
    <row r="66" spans="3:52" ht="15" customHeight="1" x14ac:dyDescent="0.25"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S66" s="95"/>
      <c r="T66" s="68">
        <v>44</v>
      </c>
      <c r="U66" s="253" t="str">
        <f t="shared" si="1"/>
        <v/>
      </c>
    </row>
    <row r="67" spans="3:52" ht="15" customHeight="1" x14ac:dyDescent="0.25"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S67" s="95"/>
      <c r="T67" s="68">
        <v>45</v>
      </c>
      <c r="U67" s="253" t="str">
        <f t="shared" si="1"/>
        <v/>
      </c>
    </row>
    <row r="68" spans="3:52" ht="15" customHeight="1" x14ac:dyDescent="0.25"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S68" s="95"/>
      <c r="T68" s="68">
        <v>46</v>
      </c>
      <c r="U68" s="253" t="str">
        <f t="shared" si="1"/>
        <v/>
      </c>
    </row>
    <row r="69" spans="3:52" ht="15" customHeight="1" x14ac:dyDescent="0.25"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S69" s="95"/>
      <c r="T69" s="68">
        <v>47</v>
      </c>
      <c r="U69" s="253" t="str">
        <f t="shared" si="1"/>
        <v/>
      </c>
    </row>
    <row r="70" spans="3:52" ht="15" customHeight="1" x14ac:dyDescent="0.25"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S70" s="95"/>
      <c r="T70" s="68">
        <v>48</v>
      </c>
      <c r="U70" s="253" t="str">
        <f t="shared" si="1"/>
        <v/>
      </c>
    </row>
    <row r="71" spans="3:52" ht="15" customHeight="1" x14ac:dyDescent="0.25"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S71" s="95"/>
      <c r="T71" s="68">
        <v>49</v>
      </c>
      <c r="U71" s="253" t="str">
        <f t="shared" si="1"/>
        <v/>
      </c>
    </row>
    <row r="72" spans="3:52" x14ac:dyDescent="0.25"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S72" s="321"/>
      <c r="T72" s="274">
        <v>50</v>
      </c>
      <c r="U72" s="275" t="str">
        <f t="shared" si="1"/>
        <v/>
      </c>
    </row>
    <row r="73" spans="3:52" x14ac:dyDescent="0.25"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R73" s="68" t="str">
        <f>IF(T72&lt;$K$34,$U$14,"")</f>
        <v/>
      </c>
    </row>
    <row r="74" spans="3:52" x14ac:dyDescent="0.25"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</row>
    <row r="75" spans="3:52" ht="15" customHeight="1" x14ac:dyDescent="0.25"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303"/>
      <c r="P75" s="54"/>
      <c r="Q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</row>
    <row r="76" spans="3:52" ht="15" customHeight="1" x14ac:dyDescent="0.25"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</row>
    <row r="77" spans="3:52" ht="15" customHeight="1" x14ac:dyDescent="0.25"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</row>
    <row r="78" spans="3:52" ht="15" customHeight="1" x14ac:dyDescent="0.25"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</row>
    <row r="79" spans="3:52" ht="15" customHeight="1" x14ac:dyDescent="0.25"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</row>
    <row r="80" spans="3:52" ht="15" customHeight="1" x14ac:dyDescent="0.25"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</row>
    <row r="81" spans="3:58" ht="15" customHeight="1" x14ac:dyDescent="0.25"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</row>
    <row r="82" spans="3:58" ht="15" customHeight="1" x14ac:dyDescent="0.25"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</row>
    <row r="83" spans="3:58" ht="15" customHeight="1" x14ac:dyDescent="0.25"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</row>
    <row r="84" spans="3:58" ht="15" customHeight="1" x14ac:dyDescent="0.25"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</row>
    <row r="85" spans="3:58" ht="15" customHeight="1" x14ac:dyDescent="0.25"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</row>
    <row r="86" spans="3:58" s="171" customFormat="1" ht="15" customHeight="1" x14ac:dyDescent="0.25"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</row>
    <row r="87" spans="3:58" ht="15" customHeight="1" x14ac:dyDescent="0.25"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</row>
    <row r="88" spans="3:58" ht="15" customHeight="1" x14ac:dyDescent="0.25"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</row>
    <row r="89" spans="3:58" ht="15" customHeight="1" x14ac:dyDescent="0.25"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</row>
    <row r="90" spans="3:58" x14ac:dyDescent="0.25"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</row>
    <row r="91" spans="3:58" ht="30.75" customHeight="1" x14ac:dyDescent="0.25"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</row>
    <row r="92" spans="3:58" ht="15" customHeight="1" x14ac:dyDescent="0.25"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</row>
    <row r="93" spans="3:58" ht="15" customHeight="1" x14ac:dyDescent="0.25"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</row>
    <row r="94" spans="3:58" ht="15" customHeight="1" x14ac:dyDescent="0.25"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</row>
    <row r="95" spans="3:58" s="171" customFormat="1" ht="15" customHeight="1" x14ac:dyDescent="0.25"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37"/>
    </row>
    <row r="96" spans="3:58" s="171" customFormat="1" ht="15" customHeight="1" x14ac:dyDescent="0.25"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37"/>
    </row>
    <row r="97" spans="3:58" s="171" customFormat="1" ht="15" customHeight="1" x14ac:dyDescent="0.25"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37"/>
    </row>
    <row r="98" spans="3:58" s="171" customFormat="1" ht="15" customHeight="1" x14ac:dyDescent="0.25"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37"/>
    </row>
    <row r="99" spans="3:58" s="171" customFormat="1" ht="15" customHeight="1" x14ac:dyDescent="0.25"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37"/>
    </row>
    <row r="100" spans="3:58" s="171" customFormat="1" ht="15" customHeight="1" x14ac:dyDescent="0.25"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37"/>
    </row>
    <row r="101" spans="3:58" s="171" customFormat="1" ht="15" customHeight="1" x14ac:dyDescent="0.25"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37"/>
    </row>
    <row r="102" spans="3:58" s="171" customFormat="1" ht="15" customHeight="1" x14ac:dyDescent="0.25"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37"/>
    </row>
    <row r="103" spans="3:58" s="171" customFormat="1" ht="15" customHeight="1" x14ac:dyDescent="0.25"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37"/>
    </row>
    <row r="104" spans="3:58" s="171" customFormat="1" ht="15" customHeight="1" x14ac:dyDescent="0.25"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37"/>
    </row>
    <row r="105" spans="3:58" s="171" customFormat="1" ht="15" customHeight="1" x14ac:dyDescent="0.25"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37"/>
    </row>
    <row r="106" spans="3:58" s="171" customFormat="1" ht="15" customHeight="1" x14ac:dyDescent="0.25"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37"/>
    </row>
    <row r="107" spans="3:58" s="171" customFormat="1" ht="15" customHeight="1" x14ac:dyDescent="0.25"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37"/>
    </row>
    <row r="108" spans="3:58" s="171" customFormat="1" ht="15" customHeight="1" x14ac:dyDescent="0.25"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37"/>
    </row>
    <row r="109" spans="3:58" s="171" customFormat="1" ht="15" customHeight="1" x14ac:dyDescent="0.25"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37"/>
    </row>
    <row r="110" spans="3:58" s="171" customFormat="1" ht="15" customHeight="1" x14ac:dyDescent="0.25"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37"/>
    </row>
    <row r="111" spans="3:58" ht="31.5" customHeight="1" x14ac:dyDescent="0.25"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</row>
    <row r="112" spans="3:58" ht="15" customHeight="1" x14ac:dyDescent="0.25"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</row>
    <row r="113" spans="3:14" ht="15" customHeight="1" x14ac:dyDescent="0.25"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</row>
    <row r="114" spans="3:14" ht="15" customHeight="1" x14ac:dyDescent="0.25"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</row>
    <row r="115" spans="3:14" ht="15" customHeight="1" x14ac:dyDescent="0.25"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</row>
    <row r="116" spans="3:14" ht="15" customHeight="1" x14ac:dyDescent="0.25"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</row>
    <row r="117" spans="3:14" ht="15" customHeight="1" x14ac:dyDescent="0.25"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</row>
    <row r="118" spans="3:14" ht="15" customHeight="1" x14ac:dyDescent="0.25"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</row>
    <row r="119" spans="3:14" ht="15" customHeight="1" x14ac:dyDescent="0.25"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</row>
    <row r="120" spans="3:14" ht="15" customHeight="1" x14ac:dyDescent="0.25"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</row>
    <row r="121" spans="3:14" ht="15" customHeight="1" x14ac:dyDescent="0.25"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</row>
    <row r="122" spans="3:14" ht="15" customHeight="1" x14ac:dyDescent="0.25"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</row>
    <row r="123" spans="3:14" ht="15" customHeight="1" x14ac:dyDescent="0.25"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</row>
    <row r="124" spans="3:14" ht="15" customHeight="1" x14ac:dyDescent="0.25"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</row>
    <row r="125" spans="3:14" ht="15" customHeight="1" x14ac:dyDescent="0.25"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</row>
    <row r="126" spans="3:14" ht="15" customHeight="1" x14ac:dyDescent="0.25"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</row>
    <row r="127" spans="3:14" ht="15" customHeight="1" x14ac:dyDescent="0.25"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</row>
    <row r="128" spans="3:14" ht="15" customHeight="1" x14ac:dyDescent="0.25"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</row>
    <row r="129" spans="3:14" ht="15" customHeight="1" x14ac:dyDescent="0.25"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</row>
    <row r="130" spans="3:14" ht="15" customHeight="1" x14ac:dyDescent="0.25"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</row>
    <row r="131" spans="3:14" ht="15" customHeight="1" x14ac:dyDescent="0.25"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</row>
    <row r="132" spans="3:14" ht="15" customHeight="1" x14ac:dyDescent="0.25"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</row>
    <row r="133" spans="3:14" ht="15" customHeight="1" x14ac:dyDescent="0.25"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</row>
    <row r="134" spans="3:14" ht="15" customHeight="1" x14ac:dyDescent="0.25"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</row>
    <row r="135" spans="3:14" ht="15" customHeight="1" x14ac:dyDescent="0.25"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</row>
    <row r="136" spans="3:14" ht="15" customHeight="1" x14ac:dyDescent="0.25"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</row>
    <row r="137" spans="3:14" ht="15" customHeight="1" x14ac:dyDescent="0.25"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</row>
    <row r="138" spans="3:14" ht="15" customHeight="1" x14ac:dyDescent="0.25"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</row>
    <row r="139" spans="3:14" ht="15" customHeight="1" x14ac:dyDescent="0.25"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</row>
    <row r="140" spans="3:14" ht="15" customHeight="1" x14ac:dyDescent="0.25"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</row>
    <row r="141" spans="3:14" ht="15" customHeight="1" x14ac:dyDescent="0.25"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</row>
    <row r="142" spans="3:14" ht="15" customHeight="1" x14ac:dyDescent="0.25"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</row>
    <row r="143" spans="3:14" ht="15" customHeight="1" x14ac:dyDescent="0.25"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</row>
    <row r="144" spans="3:14" ht="15" customHeight="1" x14ac:dyDescent="0.25"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</row>
    <row r="145" spans="3:14" ht="15" customHeight="1" x14ac:dyDescent="0.25"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</row>
    <row r="146" spans="3:14" ht="15" customHeight="1" x14ac:dyDescent="0.25"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</row>
    <row r="147" spans="3:14" ht="15" customHeight="1" x14ac:dyDescent="0.25"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</row>
    <row r="148" spans="3:14" ht="15" customHeight="1" x14ac:dyDescent="0.25"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</row>
    <row r="149" spans="3:14" ht="15" customHeight="1" x14ac:dyDescent="0.25"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</row>
    <row r="150" spans="3:14" ht="15" customHeight="1" x14ac:dyDescent="0.25"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</row>
    <row r="151" spans="3:14" ht="15" customHeight="1" x14ac:dyDescent="0.25"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</row>
    <row r="152" spans="3:14" ht="15" customHeight="1" x14ac:dyDescent="0.25"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</row>
    <row r="153" spans="3:14" ht="15" customHeight="1" x14ac:dyDescent="0.25"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</row>
    <row r="154" spans="3:14" ht="15" customHeight="1" x14ac:dyDescent="0.25"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</row>
    <row r="155" spans="3:14" ht="15" customHeight="1" x14ac:dyDescent="0.25"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</row>
    <row r="156" spans="3:14" ht="15" customHeight="1" x14ac:dyDescent="0.25"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</row>
    <row r="157" spans="3:14" ht="15" customHeight="1" x14ac:dyDescent="0.25"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</row>
    <row r="158" spans="3:14" ht="15" customHeight="1" x14ac:dyDescent="0.25"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</row>
    <row r="159" spans="3:14" ht="15" customHeight="1" x14ac:dyDescent="0.25"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</row>
    <row r="160" spans="3:14" ht="15" customHeight="1" x14ac:dyDescent="0.25"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</row>
    <row r="161" spans="3:14" ht="15" customHeight="1" x14ac:dyDescent="0.25"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</row>
    <row r="162" spans="3:14" ht="15" customHeight="1" x14ac:dyDescent="0.25"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</row>
    <row r="163" spans="3:14" ht="15" customHeight="1" x14ac:dyDescent="0.25"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</row>
    <row r="164" spans="3:14" ht="15" customHeight="1" x14ac:dyDescent="0.25"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</row>
    <row r="165" spans="3:14" ht="15" customHeight="1" x14ac:dyDescent="0.25"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</row>
    <row r="166" spans="3:14" ht="15" customHeight="1" x14ac:dyDescent="0.25"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</row>
    <row r="167" spans="3:14" ht="15" customHeight="1" x14ac:dyDescent="0.25"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</row>
    <row r="168" spans="3:14" ht="15" customHeight="1" x14ac:dyDescent="0.25"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</row>
    <row r="169" spans="3:14" ht="15" customHeight="1" x14ac:dyDescent="0.25"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</row>
    <row r="170" spans="3:14" ht="15" customHeight="1" x14ac:dyDescent="0.25"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</row>
    <row r="171" spans="3:14" ht="15" customHeight="1" x14ac:dyDescent="0.25"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</row>
    <row r="172" spans="3:14" ht="15" customHeight="1" x14ac:dyDescent="0.25"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</row>
    <row r="173" spans="3:14" ht="15" customHeight="1" x14ac:dyDescent="0.25"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</row>
    <row r="174" spans="3:14" ht="15" customHeight="1" x14ac:dyDescent="0.25"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</row>
    <row r="175" spans="3:14" ht="15" customHeight="1" x14ac:dyDescent="0.25"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</row>
    <row r="176" spans="3:14" ht="15" customHeight="1" x14ac:dyDescent="0.25"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</row>
    <row r="177" spans="3:14" ht="15" customHeight="1" x14ac:dyDescent="0.25"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</row>
    <row r="178" spans="3:14" ht="15" customHeight="1" x14ac:dyDescent="0.25"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</row>
    <row r="179" spans="3:14" ht="15" customHeight="1" x14ac:dyDescent="0.25"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</row>
    <row r="180" spans="3:14" ht="15" customHeight="1" x14ac:dyDescent="0.25"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</row>
    <row r="181" spans="3:14" ht="15" customHeight="1" x14ac:dyDescent="0.25"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</row>
    <row r="182" spans="3:14" ht="15" customHeight="1" x14ac:dyDescent="0.25"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</row>
    <row r="183" spans="3:14" ht="15" customHeight="1" x14ac:dyDescent="0.25"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</row>
    <row r="184" spans="3:14" ht="15" customHeight="1" x14ac:dyDescent="0.25"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</row>
    <row r="185" spans="3:14" ht="15" customHeight="1" x14ac:dyDescent="0.25"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</row>
    <row r="186" spans="3:14" ht="15" customHeight="1" x14ac:dyDescent="0.25"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</row>
    <row r="187" spans="3:14" ht="15" customHeight="1" x14ac:dyDescent="0.25"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</row>
    <row r="188" spans="3:14" ht="15" customHeight="1" x14ac:dyDescent="0.25"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</row>
    <row r="189" spans="3:14" ht="15" customHeight="1" x14ac:dyDescent="0.25"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</row>
    <row r="190" spans="3:14" ht="15" customHeight="1" x14ac:dyDescent="0.25"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</row>
    <row r="191" spans="3:14" ht="15" customHeight="1" x14ac:dyDescent="0.25"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</row>
    <row r="192" spans="3:14" ht="15" customHeight="1" x14ac:dyDescent="0.25"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</row>
    <row r="193" spans="3:58" ht="15" customHeight="1" x14ac:dyDescent="0.25"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</row>
    <row r="194" spans="3:58" ht="15" customHeight="1" x14ac:dyDescent="0.25"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</row>
    <row r="195" spans="3:58" ht="15" customHeight="1" x14ac:dyDescent="0.25"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</row>
    <row r="196" spans="3:58" ht="15" customHeight="1" x14ac:dyDescent="0.25"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</row>
    <row r="197" spans="3:58" ht="15" customHeight="1" x14ac:dyDescent="0.25"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</row>
    <row r="198" spans="3:58" ht="15" customHeight="1" x14ac:dyDescent="0.25"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</row>
    <row r="199" spans="3:58" ht="15" customHeight="1" x14ac:dyDescent="0.25"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</row>
    <row r="200" spans="3:58" ht="15" customHeight="1" x14ac:dyDescent="0.25"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</row>
    <row r="201" spans="3:58" ht="15" customHeight="1" x14ac:dyDescent="0.25"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</row>
    <row r="202" spans="3:58" ht="15" customHeight="1" x14ac:dyDescent="0.25"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</row>
    <row r="203" spans="3:58" ht="15" customHeight="1" x14ac:dyDescent="0.25"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</row>
    <row r="204" spans="3:58" ht="15" customHeight="1" x14ac:dyDescent="0.25"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</row>
    <row r="205" spans="3:58" ht="15" customHeight="1" x14ac:dyDescent="0.25"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</row>
    <row r="206" spans="3:58" ht="15" customHeight="1" x14ac:dyDescent="0.25"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</row>
    <row r="207" spans="3:58" s="171" customFormat="1" ht="15" customHeight="1" x14ac:dyDescent="0.25"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37"/>
    </row>
    <row r="208" spans="3:58" s="171" customFormat="1" ht="15" customHeight="1" x14ac:dyDescent="0.25"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37"/>
    </row>
    <row r="209" spans="16:58" s="171" customFormat="1" ht="15" customHeight="1" x14ac:dyDescent="0.25"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37"/>
    </row>
    <row r="210" spans="16:58" s="171" customFormat="1" ht="15" customHeight="1" x14ac:dyDescent="0.25"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37"/>
    </row>
    <row r="211" spans="16:58" s="171" customFormat="1" ht="15" customHeight="1" x14ac:dyDescent="0.25"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37"/>
    </row>
    <row r="212" spans="16:58" s="171" customFormat="1" ht="15" customHeight="1" x14ac:dyDescent="0.25"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37"/>
    </row>
    <row r="213" spans="16:58" s="171" customFormat="1" x14ac:dyDescent="0.25"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37"/>
    </row>
    <row r="214" spans="16:58" s="171" customFormat="1" x14ac:dyDescent="0.25"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37"/>
    </row>
    <row r="215" spans="16:58" s="171" customFormat="1" x14ac:dyDescent="0.25"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37"/>
    </row>
    <row r="216" spans="16:58" s="171" customFormat="1" x14ac:dyDescent="0.25"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37"/>
    </row>
    <row r="217" spans="16:58" s="171" customFormat="1" x14ac:dyDescent="0.25"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37"/>
    </row>
    <row r="218" spans="16:58" s="171" customFormat="1" x14ac:dyDescent="0.25"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37"/>
    </row>
    <row r="219" spans="16:58" s="171" customFormat="1" x14ac:dyDescent="0.25"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37"/>
    </row>
    <row r="220" spans="16:58" s="171" customFormat="1" x14ac:dyDescent="0.25"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37"/>
    </row>
    <row r="221" spans="16:58" s="171" customFormat="1" x14ac:dyDescent="0.25"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37"/>
    </row>
    <row r="222" spans="16:58" s="171" customFormat="1" x14ac:dyDescent="0.25"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37"/>
    </row>
    <row r="223" spans="16:58" s="171" customFormat="1" x14ac:dyDescent="0.25"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37"/>
    </row>
    <row r="224" spans="16:58" s="171" customFormat="1" x14ac:dyDescent="0.25"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37"/>
    </row>
    <row r="225" spans="16:58" s="171" customFormat="1" x14ac:dyDescent="0.25"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37"/>
    </row>
    <row r="226" spans="16:58" s="171" customFormat="1" x14ac:dyDescent="0.25"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37"/>
    </row>
    <row r="227" spans="16:58" s="171" customFormat="1" x14ac:dyDescent="0.25"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37"/>
    </row>
    <row r="228" spans="16:58" s="171" customFormat="1" x14ac:dyDescent="0.25"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37"/>
    </row>
    <row r="229" spans="16:58" s="171" customFormat="1" x14ac:dyDescent="0.25"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37"/>
    </row>
    <row r="230" spans="16:58" s="171" customFormat="1" x14ac:dyDescent="0.25"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37"/>
    </row>
    <row r="231" spans="16:58" s="171" customFormat="1" x14ac:dyDescent="0.25"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37"/>
    </row>
    <row r="232" spans="16:58" s="171" customFormat="1" x14ac:dyDescent="0.25"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37"/>
    </row>
    <row r="233" spans="16:58" s="171" customFormat="1" x14ac:dyDescent="0.25"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37"/>
    </row>
    <row r="234" spans="16:58" s="171" customFormat="1" x14ac:dyDescent="0.25"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37"/>
    </row>
    <row r="235" spans="16:58" s="171" customFormat="1" x14ac:dyDescent="0.25"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37"/>
    </row>
    <row r="236" spans="16:58" s="171" customFormat="1" x14ac:dyDescent="0.25"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37"/>
    </row>
    <row r="237" spans="16:58" s="171" customFormat="1" x14ac:dyDescent="0.25"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37"/>
    </row>
    <row r="238" spans="16:58" s="171" customFormat="1" x14ac:dyDescent="0.25"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37"/>
    </row>
    <row r="239" spans="16:58" s="171" customFormat="1" x14ac:dyDescent="0.25"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37"/>
    </row>
    <row r="240" spans="16:58" s="171" customFormat="1" x14ac:dyDescent="0.25"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37"/>
    </row>
    <row r="241" spans="3:58" s="171" customFormat="1" x14ac:dyDescent="0.25"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37"/>
    </row>
    <row r="242" spans="3:58" s="171" customFormat="1" x14ac:dyDescent="0.25"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37"/>
    </row>
    <row r="243" spans="3:58" s="171" customFormat="1" x14ac:dyDescent="0.25"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37"/>
    </row>
    <row r="244" spans="3:58" s="171" customFormat="1" x14ac:dyDescent="0.25"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37"/>
    </row>
    <row r="245" spans="3:58" s="171" customFormat="1" x14ac:dyDescent="0.25"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37"/>
    </row>
    <row r="246" spans="3:58" s="171" customFormat="1" x14ac:dyDescent="0.25"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37"/>
    </row>
    <row r="247" spans="3:58" s="171" customFormat="1" x14ac:dyDescent="0.25"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37"/>
    </row>
    <row r="248" spans="3:58" s="171" customFormat="1" x14ac:dyDescent="0.25"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37"/>
    </row>
    <row r="249" spans="3:58" s="171" customFormat="1" x14ac:dyDescent="0.25"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37"/>
    </row>
    <row r="250" spans="3:58" s="171" customFormat="1" x14ac:dyDescent="0.25"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37"/>
    </row>
    <row r="251" spans="3:58" s="171" customFormat="1" x14ac:dyDescent="0.25"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37"/>
    </row>
    <row r="252" spans="3:58" s="171" customFormat="1" x14ac:dyDescent="0.25"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37"/>
    </row>
    <row r="253" spans="3:58" s="171" customFormat="1" x14ac:dyDescent="0.25"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37"/>
    </row>
    <row r="254" spans="3:58" s="171" customFormat="1" x14ac:dyDescent="0.25"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37"/>
    </row>
    <row r="255" spans="3:58" s="171" customFormat="1" x14ac:dyDescent="0.25"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37"/>
    </row>
    <row r="256" spans="3:58" x14ac:dyDescent="0.25">
      <c r="C256" s="171"/>
      <c r="D256" s="171"/>
      <c r="E256" s="171"/>
      <c r="F256" s="171"/>
      <c r="G256" s="171"/>
      <c r="H256" s="171"/>
      <c r="I256" s="171"/>
      <c r="J256" s="171"/>
      <c r="K256" s="171"/>
      <c r="L256" s="171"/>
      <c r="M256" s="171"/>
      <c r="N256" s="171"/>
    </row>
    <row r="257" spans="3:14" x14ac:dyDescent="0.25">
      <c r="C257" s="171"/>
      <c r="D257" s="171"/>
      <c r="E257" s="171"/>
      <c r="F257" s="171"/>
      <c r="G257" s="171"/>
      <c r="H257" s="171"/>
      <c r="I257" s="171"/>
      <c r="J257" s="171"/>
      <c r="K257" s="171"/>
      <c r="L257" s="171"/>
      <c r="M257" s="171"/>
      <c r="N257" s="171"/>
    </row>
    <row r="258" spans="3:14" x14ac:dyDescent="0.25"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</row>
    <row r="259" spans="3:14" x14ac:dyDescent="0.25">
      <c r="C259" s="171"/>
      <c r="D259" s="171"/>
      <c r="E259" s="171"/>
      <c r="F259" s="171"/>
      <c r="G259" s="171"/>
      <c r="H259" s="171"/>
      <c r="I259" s="171"/>
      <c r="J259" s="171"/>
      <c r="K259" s="171"/>
      <c r="L259" s="171"/>
      <c r="M259" s="171"/>
      <c r="N259" s="171"/>
    </row>
    <row r="260" spans="3:14" x14ac:dyDescent="0.25"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</row>
    <row r="261" spans="3:14" x14ac:dyDescent="0.25">
      <c r="C261" s="171"/>
      <c r="D261" s="171"/>
      <c r="E261" s="171"/>
      <c r="F261" s="171"/>
      <c r="G261" s="171"/>
      <c r="H261" s="171"/>
      <c r="I261" s="171"/>
      <c r="J261" s="171"/>
      <c r="K261" s="171"/>
      <c r="L261" s="171"/>
      <c r="M261" s="171"/>
      <c r="N261" s="171"/>
    </row>
    <row r="262" spans="3:14" x14ac:dyDescent="0.25">
      <c r="G262" s="171"/>
      <c r="H262" s="171"/>
      <c r="I262" s="171"/>
      <c r="J262" s="171"/>
      <c r="K262" s="171"/>
      <c r="L262" s="171"/>
      <c r="M262" s="171"/>
      <c r="N262" s="171"/>
    </row>
    <row r="263" spans="3:14" x14ac:dyDescent="0.25">
      <c r="G263" s="171"/>
      <c r="H263" s="171"/>
      <c r="I263" s="171"/>
      <c r="J263" s="171"/>
      <c r="K263" s="171"/>
      <c r="L263" s="171"/>
      <c r="M263" s="171"/>
      <c r="N263" s="171"/>
    </row>
  </sheetData>
  <sheetProtection algorithmName="SHA-512" hashValue="QzeE4bI89ufcYwHzeqLF2GDKEh+K8sMHZtjC0Xq+ZYgnIJ8BMERUptmp9netdXc2v+4Inip9OSPVtYy7g44HHA==" saltValue="mD7LbCul3ansOkhDf0UMpw==" spinCount="100000" sheet="1" objects="1" scenarios="1"/>
  <mergeCells count="3">
    <mergeCell ref="H33:J34"/>
    <mergeCell ref="C25:M25"/>
    <mergeCell ref="F19:G19"/>
  </mergeCells>
  <dataValidations count="1">
    <dataValidation type="list" allowBlank="1" showInputMessage="1" showErrorMessage="1" sqref="J23:J24 L31:L34 L36">
      <formula1>#REF!</formula1>
    </dataValidation>
  </dataValidations>
  <pageMargins left="0.7" right="0.7" top="0.78740157499999996" bottom="0.78740157499999996" header="0.3" footer="0.3"/>
  <pageSetup paperSize="9" scale="1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3CC31"/>
    <pageSetUpPr fitToPage="1"/>
  </sheetPr>
  <dimension ref="A1:BJ357"/>
  <sheetViews>
    <sheetView showGridLines="0" zoomScale="85" zoomScaleNormal="85" zoomScalePageLayoutView="75" workbookViewId="0">
      <pane ySplit="6" topLeftCell="A95" activePane="bottomLeft" state="frozen"/>
      <selection pane="bottomLeft" activeCell="M108" sqref="M108"/>
    </sheetView>
  </sheetViews>
  <sheetFormatPr baseColWidth="10" defaultColWidth="11.42578125" defaultRowHeight="15" x14ac:dyDescent="0.25"/>
  <cols>
    <col min="1" max="1" width="3.7109375" style="171" customWidth="1"/>
    <col min="2" max="2" width="7.140625" style="171" customWidth="1"/>
    <col min="3" max="3" width="40" style="37" customWidth="1"/>
    <col min="4" max="4" width="11.28515625" style="37" customWidth="1"/>
    <col min="5" max="5" width="15.42578125" style="37" customWidth="1"/>
    <col min="6" max="6" width="11.85546875" style="37" customWidth="1"/>
    <col min="7" max="7" width="12.140625" style="37" customWidth="1"/>
    <col min="8" max="8" width="11.42578125" style="37" customWidth="1"/>
    <col min="9" max="9" width="13.7109375" style="37" customWidth="1"/>
    <col min="10" max="10" width="10" style="37" customWidth="1"/>
    <col min="11" max="11" width="32.42578125" style="37" customWidth="1"/>
    <col min="12" max="12" width="9.140625" style="37" customWidth="1"/>
    <col min="13" max="13" width="23.140625" style="37" customWidth="1"/>
    <col min="14" max="14" width="22.7109375" style="37" customWidth="1"/>
    <col min="15" max="15" width="17.5703125" style="37" customWidth="1"/>
    <col min="16" max="16" width="7.42578125" style="37" customWidth="1"/>
    <col min="17" max="17" width="179" style="171" customWidth="1"/>
    <col min="18" max="18" width="11.42578125" style="37"/>
    <col min="19" max="19" width="12.85546875" style="37" customWidth="1"/>
    <col min="20" max="20" width="9.85546875" style="37" customWidth="1"/>
    <col min="21" max="23" width="11.42578125" style="37"/>
    <col min="24" max="24" width="49.42578125" style="37" customWidth="1"/>
    <col min="25" max="25" width="11.42578125" style="37"/>
    <col min="26" max="26" width="15" style="37" bestFit="1" customWidth="1"/>
    <col min="27" max="27" width="11.42578125" style="37"/>
    <col min="28" max="28" width="13.85546875" style="37" customWidth="1"/>
    <col min="29" max="29" width="11.42578125" style="37"/>
    <col min="30" max="30" width="14.28515625" style="37" customWidth="1"/>
    <col min="31" max="31" width="5.140625" style="37" customWidth="1"/>
    <col min="32" max="32" width="11.42578125" style="37"/>
    <col min="33" max="33" width="1.85546875" style="37" customWidth="1"/>
    <col min="34" max="34" width="62.140625" style="37" customWidth="1"/>
    <col min="35" max="39" width="11.42578125" style="37"/>
    <col min="40" max="40" width="13.140625" style="37" customWidth="1"/>
    <col min="41" max="16384" width="11.42578125" style="37"/>
  </cols>
  <sheetData>
    <row r="1" spans="2:62" x14ac:dyDescent="0.25">
      <c r="B1" s="68"/>
      <c r="D1" s="174"/>
    </row>
    <row r="2" spans="2:62" ht="23.25" x14ac:dyDescent="0.25">
      <c r="B2" s="68"/>
      <c r="C2" s="175"/>
      <c r="D2" s="175"/>
    </row>
    <row r="3" spans="2:62" x14ac:dyDescent="0.25">
      <c r="B3" s="68"/>
      <c r="N3" s="176" t="s">
        <v>5</v>
      </c>
      <c r="O3" s="176"/>
    </row>
    <row r="4" spans="2:62" x14ac:dyDescent="0.25">
      <c r="B4" s="68"/>
      <c r="N4" s="177" t="s">
        <v>1841</v>
      </c>
      <c r="O4" s="177"/>
    </row>
    <row r="5" spans="2:62" x14ac:dyDescent="0.25">
      <c r="B5" s="68"/>
      <c r="N5" s="178" t="s">
        <v>1829</v>
      </c>
      <c r="O5" s="178"/>
    </row>
    <row r="6" spans="2:62" x14ac:dyDescent="0.25">
      <c r="B6" s="68"/>
    </row>
    <row r="7" spans="2:62" x14ac:dyDescent="0.25"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</row>
    <row r="8" spans="2:62" ht="15.75" customHeight="1" x14ac:dyDescent="0.25"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X8" s="44"/>
      <c r="Z8" s="180"/>
      <c r="AA8" s="180"/>
      <c r="AB8" s="180"/>
      <c r="AC8" s="91"/>
      <c r="AD8" s="180"/>
      <c r="AE8" s="91"/>
      <c r="AI8" s="44"/>
      <c r="AL8" s="43"/>
      <c r="AM8" s="10"/>
      <c r="AN8" s="10"/>
      <c r="AO8" s="10"/>
      <c r="AP8" s="10"/>
    </row>
    <row r="9" spans="2:62" ht="60" customHeight="1" x14ac:dyDescent="0.25">
      <c r="B9" s="179"/>
      <c r="C9" s="516" t="s">
        <v>1852</v>
      </c>
      <c r="D9" s="516"/>
      <c r="E9" s="516"/>
      <c r="Z9" s="91"/>
      <c r="AA9" s="91"/>
      <c r="AB9" s="91"/>
      <c r="AC9" s="91"/>
      <c r="AD9" s="91"/>
      <c r="AE9" s="91"/>
      <c r="AI9" s="10"/>
      <c r="AK9" s="10"/>
      <c r="AL9" s="10"/>
      <c r="AM9" s="10"/>
      <c r="AN9" s="10"/>
      <c r="AO9" s="10"/>
      <c r="AP9" s="10"/>
    </row>
    <row r="10" spans="2:62" ht="15.75" x14ac:dyDescent="0.25">
      <c r="B10" s="179"/>
      <c r="C10" s="104" t="s">
        <v>1849</v>
      </c>
      <c r="D10" s="103"/>
      <c r="Z10" s="91"/>
      <c r="AA10" s="91"/>
      <c r="AB10" s="91"/>
      <c r="AC10" s="91"/>
      <c r="AD10" s="91"/>
      <c r="AE10" s="91"/>
      <c r="AI10" s="10"/>
      <c r="AK10" s="10"/>
      <c r="AL10" s="10"/>
      <c r="AM10" s="10"/>
      <c r="AN10" s="10"/>
      <c r="AO10" s="10"/>
      <c r="AP10" s="10"/>
    </row>
    <row r="11" spans="2:62" ht="15" customHeight="1" x14ac:dyDescent="0.25">
      <c r="B11" s="179"/>
      <c r="C11" s="44"/>
      <c r="R11" s="62"/>
      <c r="V11" s="62"/>
      <c r="W11" s="62"/>
      <c r="X11" s="62"/>
      <c r="Y11" s="62"/>
      <c r="Z11" s="91"/>
      <c r="AA11" s="91"/>
      <c r="AB11" s="91"/>
      <c r="AC11" s="91"/>
      <c r="AD11" s="91"/>
      <c r="AE11" s="91"/>
      <c r="AF11" s="62"/>
      <c r="AG11" s="62"/>
      <c r="AH11" s="62"/>
      <c r="AI11" s="10"/>
      <c r="AJ11" s="62"/>
      <c r="AK11" s="10"/>
      <c r="AL11" s="10"/>
      <c r="AM11" s="10"/>
      <c r="AN11" s="10"/>
      <c r="AO11" s="10"/>
      <c r="AP11" s="10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</row>
    <row r="12" spans="2:62" ht="81" customHeight="1" x14ac:dyDescent="0.25">
      <c r="B12" s="179"/>
      <c r="C12" s="516" t="s">
        <v>1850</v>
      </c>
      <c r="D12" s="516"/>
      <c r="E12" s="516"/>
      <c r="X12" s="62"/>
      <c r="Y12" s="62"/>
      <c r="Z12" s="91"/>
      <c r="AA12" s="91"/>
      <c r="AB12" s="91"/>
      <c r="AC12" s="91"/>
      <c r="AD12" s="91"/>
      <c r="AE12" s="91"/>
      <c r="AI12" s="10"/>
      <c r="AL12" s="10"/>
      <c r="AM12" s="10"/>
      <c r="AN12" s="10"/>
      <c r="AO12" s="10"/>
      <c r="AP12" s="10"/>
    </row>
    <row r="13" spans="2:62" ht="66.95" customHeight="1" x14ac:dyDescent="0.25">
      <c r="B13" s="179"/>
      <c r="C13" s="516" t="s">
        <v>1851</v>
      </c>
      <c r="D13" s="516"/>
      <c r="E13" s="516"/>
      <c r="X13" s="62"/>
      <c r="Y13" s="62"/>
      <c r="Z13" s="91"/>
      <c r="AA13" s="91"/>
      <c r="AB13" s="91"/>
      <c r="AC13" s="91"/>
      <c r="AD13" s="91"/>
      <c r="AE13" s="91"/>
      <c r="AI13" s="10"/>
      <c r="AL13" s="10"/>
      <c r="AM13" s="10"/>
      <c r="AN13" s="10"/>
      <c r="AO13" s="10"/>
      <c r="AP13" s="83"/>
    </row>
    <row r="14" spans="2:62" ht="15" customHeight="1" thickBot="1" x14ac:dyDescent="0.3">
      <c r="B14" s="179"/>
      <c r="C14" s="44"/>
      <c r="X14" s="62"/>
      <c r="Y14" s="62"/>
      <c r="Z14" s="91"/>
      <c r="AA14" s="91"/>
      <c r="AB14" s="91"/>
      <c r="AC14" s="91"/>
      <c r="AD14" s="91"/>
      <c r="AE14" s="91"/>
      <c r="AI14" s="10"/>
      <c r="AL14" s="10"/>
      <c r="AM14" s="10"/>
      <c r="AN14" s="10"/>
      <c r="AO14" s="10"/>
      <c r="AP14" s="83"/>
    </row>
    <row r="15" spans="2:62" ht="15" customHeight="1" x14ac:dyDescent="0.25">
      <c r="B15" s="179"/>
      <c r="C15" s="18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X15" s="62"/>
      <c r="Y15" s="62"/>
      <c r="Z15" s="91"/>
      <c r="AA15" s="91"/>
      <c r="AB15" s="91"/>
      <c r="AC15" s="91"/>
      <c r="AD15" s="132"/>
      <c r="AE15" s="91"/>
    </row>
    <row r="16" spans="2:62" ht="18.75" x14ac:dyDescent="0.25">
      <c r="B16" s="179"/>
      <c r="C16" s="106" t="s">
        <v>71</v>
      </c>
      <c r="D16" s="92"/>
      <c r="E16" s="92"/>
      <c r="F16" s="92"/>
      <c r="G16" s="92"/>
      <c r="P16" s="184"/>
      <c r="R16" s="62"/>
      <c r="V16" s="62"/>
      <c r="W16" s="62"/>
      <c r="X16" s="62"/>
      <c r="Y16" s="62"/>
      <c r="Z16" s="185"/>
      <c r="AA16" s="185"/>
      <c r="AB16" s="185"/>
      <c r="AC16" s="91"/>
      <c r="AD16" s="132"/>
      <c r="AE16" s="91"/>
      <c r="AF16" s="62"/>
      <c r="AG16" s="62"/>
      <c r="AH16" s="169"/>
      <c r="AI16" s="169"/>
      <c r="AJ16" s="154"/>
      <c r="AK16" s="11"/>
      <c r="AL16" s="11"/>
      <c r="AM16" s="11"/>
      <c r="AN16" s="11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</row>
    <row r="17" spans="2:62" ht="18.75" x14ac:dyDescent="0.25">
      <c r="B17" s="179"/>
      <c r="C17" s="106"/>
      <c r="D17" s="92"/>
      <c r="E17" s="92"/>
      <c r="F17" s="92"/>
      <c r="G17" s="92"/>
      <c r="P17" s="184"/>
      <c r="R17" s="62"/>
      <c r="V17" s="62"/>
      <c r="W17" s="62"/>
      <c r="X17" s="62"/>
      <c r="Y17" s="62"/>
      <c r="Z17" s="185"/>
      <c r="AA17" s="185"/>
      <c r="AB17" s="185"/>
      <c r="AC17" s="91"/>
      <c r="AD17" s="132"/>
      <c r="AE17" s="91"/>
      <c r="AF17" s="62"/>
      <c r="AG17" s="62"/>
      <c r="AH17" s="169"/>
      <c r="AI17" s="169"/>
      <c r="AJ17" s="154"/>
      <c r="AK17" s="11"/>
      <c r="AL17" s="11"/>
      <c r="AM17" s="11"/>
      <c r="AN17" s="11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</row>
    <row r="18" spans="2:62" ht="45" customHeight="1" x14ac:dyDescent="0.25">
      <c r="B18" s="179"/>
      <c r="C18" s="111" t="s">
        <v>70</v>
      </c>
      <c r="D18" s="514" t="s">
        <v>1882</v>
      </c>
      <c r="E18" s="514"/>
      <c r="F18" s="92"/>
      <c r="G18" s="512" t="s">
        <v>1856</v>
      </c>
      <c r="H18" s="512"/>
      <c r="J18" s="50" t="s">
        <v>127</v>
      </c>
      <c r="K18" s="117"/>
      <c r="L18" s="117"/>
      <c r="M18" s="117"/>
      <c r="N18" s="117"/>
      <c r="P18" s="184"/>
      <c r="R18" s="62"/>
      <c r="S18" s="62"/>
      <c r="T18" s="62"/>
      <c r="U18" s="62"/>
      <c r="V18" s="186"/>
      <c r="W18" s="62"/>
      <c r="X18" s="62"/>
      <c r="Y18" s="62"/>
      <c r="Z18" s="91"/>
      <c r="AA18" s="91"/>
      <c r="AB18" s="91"/>
      <c r="AC18" s="91"/>
      <c r="AD18" s="132"/>
      <c r="AE18" s="91"/>
      <c r="AF18" s="62"/>
      <c r="AG18" s="62"/>
      <c r="AH18" s="54"/>
      <c r="AI18" s="68"/>
      <c r="AJ18" s="68"/>
      <c r="AL18" s="62"/>
      <c r="AM18" s="62"/>
      <c r="AO18" s="62"/>
      <c r="AP18" s="62"/>
      <c r="AQ18" s="62"/>
      <c r="AR18" s="62"/>
      <c r="AS18" s="68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</row>
    <row r="19" spans="2:62" ht="20.100000000000001" customHeight="1" x14ac:dyDescent="0.25">
      <c r="B19" s="179"/>
      <c r="C19" s="111" t="s">
        <v>69</v>
      </c>
      <c r="D19"/>
      <c r="E19" s="450">
        <v>45</v>
      </c>
      <c r="F19" s="121" t="s">
        <v>3</v>
      </c>
      <c r="G19" s="116"/>
      <c r="H19" s="91"/>
      <c r="J19" s="10" t="s">
        <v>9</v>
      </c>
      <c r="K19" s="62"/>
      <c r="L19" s="452">
        <v>12</v>
      </c>
      <c r="M19" s="37" t="s">
        <v>6</v>
      </c>
      <c r="N19" s="90" t="str">
        <f>IF(L13="wassergekühlt / (Prozess)Wasser","typische Spreizung: 15K","")</f>
        <v/>
      </c>
      <c r="P19" s="184"/>
      <c r="R19" s="62"/>
      <c r="S19" s="44"/>
      <c r="U19" s="180"/>
      <c r="V19" s="180"/>
      <c r="W19" s="62"/>
      <c r="X19" s="62"/>
      <c r="Y19" s="62"/>
      <c r="Z19" s="91"/>
      <c r="AA19" s="91"/>
      <c r="AB19" s="91"/>
      <c r="AC19" s="91"/>
      <c r="AD19" s="132"/>
      <c r="AE19" s="91"/>
      <c r="AF19" s="62"/>
      <c r="AG19" s="62"/>
      <c r="AH19" s="68"/>
      <c r="AI19" s="169"/>
      <c r="AJ19" s="187"/>
      <c r="AL19" s="62"/>
      <c r="AM19" s="62"/>
      <c r="AO19" s="62"/>
      <c r="AP19" s="62"/>
      <c r="AQ19" s="62"/>
      <c r="AR19" s="62"/>
      <c r="AS19" s="68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</row>
    <row r="20" spans="2:62" ht="20.100000000000001" customHeight="1" x14ac:dyDescent="0.25">
      <c r="B20" s="179"/>
      <c r="C20" s="35" t="s">
        <v>72</v>
      </c>
      <c r="D20"/>
      <c r="E20" s="453">
        <v>35</v>
      </c>
      <c r="F20" s="10" t="s">
        <v>3</v>
      </c>
      <c r="G20" s="488"/>
      <c r="H20" s="10" t="s">
        <v>99</v>
      </c>
      <c r="J20" s="10" t="s">
        <v>10</v>
      </c>
      <c r="K20" s="62"/>
      <c r="L20" s="452">
        <v>5</v>
      </c>
      <c r="M20" s="37" t="s">
        <v>11</v>
      </c>
      <c r="N20" s="57" t="s">
        <v>1854</v>
      </c>
      <c r="P20" s="184"/>
      <c r="R20" s="62"/>
      <c r="S20" s="188" t="s">
        <v>25</v>
      </c>
      <c r="V20" s="91"/>
      <c r="W20" s="62"/>
      <c r="X20" s="169"/>
      <c r="Y20" s="169"/>
      <c r="Z20" s="83"/>
      <c r="AA20" s="83"/>
      <c r="AB20" s="83"/>
      <c r="AC20" s="154"/>
      <c r="AD20" s="154"/>
      <c r="AE20" s="154"/>
      <c r="AF20" s="62"/>
      <c r="AG20" s="62"/>
      <c r="AH20" s="68"/>
      <c r="AI20" s="169"/>
      <c r="AJ20" s="187"/>
      <c r="AL20" s="62"/>
      <c r="AM20" s="62"/>
      <c r="AO20" s="62"/>
      <c r="AP20" s="62"/>
      <c r="AQ20" s="62"/>
      <c r="AR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</row>
    <row r="21" spans="2:62" ht="20.100000000000001" customHeight="1" x14ac:dyDescent="0.25">
      <c r="B21" s="179"/>
      <c r="C21" s="35" t="s">
        <v>73</v>
      </c>
      <c r="D21"/>
      <c r="E21" s="456">
        <v>1</v>
      </c>
      <c r="F21" s="10" t="s">
        <v>154</v>
      </c>
      <c r="G21" s="72">
        <f>IFERROR(G20*T40/3600,0)</f>
        <v>0</v>
      </c>
      <c r="H21" s="10" t="s">
        <v>154</v>
      </c>
      <c r="J21" s="10" t="s">
        <v>13</v>
      </c>
      <c r="K21" s="62"/>
      <c r="L21" s="452">
        <v>40</v>
      </c>
      <c r="M21" s="37" t="s">
        <v>12</v>
      </c>
      <c r="N21" s="58">
        <f>L19*L20*L21</f>
        <v>2400</v>
      </c>
      <c r="P21" s="184"/>
      <c r="R21" s="62"/>
      <c r="S21" s="189"/>
      <c r="V21" s="91"/>
      <c r="W21" s="62"/>
      <c r="AF21" s="62"/>
      <c r="AG21" s="62"/>
      <c r="AH21" s="68"/>
      <c r="AI21" s="169"/>
      <c r="AJ21" s="187"/>
      <c r="AL21" s="62"/>
      <c r="AM21" s="62"/>
      <c r="AO21" s="62"/>
      <c r="AP21" s="62"/>
      <c r="AQ21" s="62"/>
      <c r="AR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</row>
    <row r="22" spans="2:62" ht="15" customHeight="1" x14ac:dyDescent="0.25">
      <c r="B22" s="179"/>
      <c r="C22" s="111"/>
      <c r="K22" s="129"/>
      <c r="L22" s="129"/>
      <c r="M22" s="129"/>
      <c r="N22" s="129"/>
      <c r="O22" s="129"/>
      <c r="P22" s="190"/>
      <c r="R22" s="62"/>
      <c r="S22" s="191">
        <v>0</v>
      </c>
      <c r="T22" s="62"/>
      <c r="V22" s="91"/>
      <c r="W22" s="62"/>
      <c r="AF22" s="62"/>
      <c r="AG22" s="62"/>
      <c r="AH22" s="68"/>
      <c r="AI22" s="169"/>
      <c r="AJ22" s="192"/>
      <c r="AL22" s="62"/>
      <c r="AM22" s="62"/>
      <c r="AN22" s="193"/>
      <c r="AO22" s="62"/>
      <c r="AP22" s="62"/>
      <c r="AQ22" s="62"/>
      <c r="AR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</row>
    <row r="23" spans="2:62" ht="15" customHeight="1" x14ac:dyDescent="0.25">
      <c r="B23" s="179"/>
      <c r="C23" s="111"/>
      <c r="J23" s="129"/>
      <c r="K23" s="129"/>
      <c r="L23" s="129"/>
      <c r="M23" s="129"/>
      <c r="N23" s="129"/>
      <c r="O23" s="129"/>
      <c r="P23" s="190"/>
      <c r="R23" s="62"/>
      <c r="S23" s="191">
        <v>25</v>
      </c>
      <c r="T23" s="62"/>
      <c r="V23" s="91"/>
      <c r="W23" s="62"/>
      <c r="AF23" s="62"/>
      <c r="AG23" s="62"/>
      <c r="AH23" s="68"/>
      <c r="AI23" s="169"/>
      <c r="AJ23" s="192"/>
      <c r="AL23" s="62"/>
      <c r="AM23" s="62"/>
      <c r="AN23" s="193"/>
      <c r="AO23" s="62"/>
      <c r="AP23" s="62"/>
      <c r="AQ23" s="62"/>
      <c r="AR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</row>
    <row r="24" spans="2:62" ht="39.950000000000003" customHeight="1" x14ac:dyDescent="0.25">
      <c r="B24" s="179"/>
      <c r="C24" s="111"/>
      <c r="I24" s="91"/>
      <c r="J24" s="512" t="s">
        <v>108</v>
      </c>
      <c r="K24" s="512"/>
      <c r="L24" s="512"/>
      <c r="M24" s="512"/>
      <c r="N24" s="512"/>
      <c r="O24" s="129"/>
      <c r="P24" s="190"/>
      <c r="R24" s="62"/>
      <c r="S24" s="191">
        <v>50</v>
      </c>
      <c r="V24" s="91"/>
      <c r="W24" s="62"/>
      <c r="AF24" s="62"/>
      <c r="AG24" s="62"/>
      <c r="AH24" s="68"/>
      <c r="AI24" s="169"/>
      <c r="AJ24" s="192"/>
      <c r="AL24" s="62"/>
      <c r="AM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</row>
    <row r="25" spans="2:62" ht="15" customHeight="1" x14ac:dyDescent="0.25">
      <c r="B25" s="179"/>
      <c r="C25" s="111"/>
      <c r="I25" s="91"/>
      <c r="J25" s="194"/>
      <c r="K25" s="194"/>
      <c r="L25" s="194"/>
      <c r="M25" s="194"/>
      <c r="N25" s="194"/>
      <c r="O25" s="194"/>
      <c r="P25" s="195"/>
      <c r="R25" s="62"/>
      <c r="S25" s="191">
        <v>75</v>
      </c>
      <c r="V25" s="91"/>
      <c r="W25" s="62"/>
      <c r="AF25" s="62"/>
      <c r="AG25" s="62"/>
      <c r="AH25" s="68"/>
      <c r="AI25" s="169"/>
      <c r="AJ25" s="192"/>
      <c r="AL25" s="62"/>
      <c r="AM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</row>
    <row r="26" spans="2:62" ht="15" customHeight="1" x14ac:dyDescent="0.25">
      <c r="B26" s="179"/>
      <c r="C26" s="111"/>
      <c r="I26" s="91"/>
      <c r="J26" s="83" t="s">
        <v>15</v>
      </c>
      <c r="K26" s="69"/>
      <c r="L26" s="451">
        <v>2400</v>
      </c>
      <c r="M26" s="83" t="s">
        <v>109</v>
      </c>
      <c r="P26" s="184"/>
      <c r="R26" s="62"/>
      <c r="S26" s="200">
        <v>100</v>
      </c>
      <c r="V26" s="91"/>
      <c r="W26" s="62"/>
      <c r="AF26" s="62"/>
      <c r="AG26" s="62"/>
      <c r="AH26" s="68"/>
      <c r="AI26" s="169"/>
      <c r="AJ26" s="196"/>
      <c r="AL26" s="62"/>
      <c r="AM26" s="62"/>
      <c r="AN26" s="193"/>
      <c r="AO26" s="62"/>
      <c r="AP26" s="62"/>
      <c r="AQ26" s="62"/>
      <c r="AR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</row>
    <row r="27" spans="2:62" ht="20.100000000000001" customHeight="1" x14ac:dyDescent="0.25">
      <c r="B27" s="197"/>
      <c r="C27" s="111"/>
      <c r="G27" s="68"/>
      <c r="H27" s="68"/>
      <c r="I27" s="132"/>
      <c r="J27" s="81"/>
      <c r="K27" s="81"/>
      <c r="L27" s="198"/>
      <c r="M27" s="81"/>
      <c r="N27" s="68"/>
      <c r="O27" s="68"/>
      <c r="P27" s="199"/>
      <c r="R27" s="62"/>
      <c r="V27" s="91"/>
      <c r="W27" s="62"/>
      <c r="AF27" s="62"/>
      <c r="AG27" s="62"/>
      <c r="AH27" s="68"/>
      <c r="AI27" s="68"/>
      <c r="AJ27" s="68"/>
      <c r="AL27" s="62"/>
      <c r="AM27" s="62"/>
      <c r="AO27" s="62"/>
      <c r="AP27" s="62"/>
      <c r="AQ27" s="62"/>
      <c r="AR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</row>
    <row r="28" spans="2:62" ht="20.100000000000001" customHeight="1" x14ac:dyDescent="0.25">
      <c r="B28" s="179"/>
      <c r="C28" s="110" t="s">
        <v>103</v>
      </c>
      <c r="D28" s="42"/>
      <c r="E28" s="42"/>
      <c r="F28" s="68"/>
      <c r="G28" s="53"/>
      <c r="H28" s="53"/>
      <c r="I28" s="91"/>
      <c r="J28" s="56" t="s">
        <v>102</v>
      </c>
      <c r="K28" s="56"/>
      <c r="L28" s="56"/>
      <c r="M28" s="56"/>
      <c r="N28" s="94"/>
      <c r="P28" s="184"/>
      <c r="R28" s="62"/>
      <c r="T28" s="62"/>
      <c r="V28" s="91"/>
      <c r="W28" s="62"/>
      <c r="AF28" s="62"/>
      <c r="AG28" s="62"/>
      <c r="AH28" s="68"/>
      <c r="AI28" s="68"/>
      <c r="AJ28" s="201"/>
      <c r="AL28" s="62"/>
      <c r="AM28" s="62"/>
      <c r="AO28" s="62"/>
      <c r="AP28" s="62"/>
      <c r="AQ28" s="62"/>
      <c r="AR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</row>
    <row r="29" spans="2:62" ht="20.100000000000001" customHeight="1" x14ac:dyDescent="0.25">
      <c r="B29" s="179"/>
      <c r="C29" s="368" t="s">
        <v>24</v>
      </c>
      <c r="D29" s="364"/>
      <c r="E29" s="365">
        <f>E19-E20</f>
        <v>10</v>
      </c>
      <c r="F29" s="53" t="s">
        <v>19</v>
      </c>
      <c r="G29" s="53"/>
      <c r="H29" s="53"/>
      <c r="I29" s="91"/>
      <c r="J29" s="44"/>
      <c r="K29" s="53"/>
      <c r="L29" s="53"/>
      <c r="M29" s="53"/>
      <c r="N29" s="57" t="s">
        <v>1855</v>
      </c>
      <c r="P29" s="184"/>
      <c r="R29" s="62"/>
      <c r="S29" s="83"/>
      <c r="T29" s="62"/>
      <c r="V29" s="91"/>
      <c r="W29" s="62"/>
      <c r="AF29" s="62"/>
      <c r="AG29" s="62"/>
      <c r="AH29" s="68"/>
      <c r="AI29" s="68"/>
      <c r="AJ29" s="201"/>
      <c r="AL29" s="62"/>
      <c r="AM29" s="62"/>
      <c r="AO29" s="62"/>
      <c r="AP29" s="62"/>
      <c r="AQ29" s="62"/>
      <c r="AR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</row>
    <row r="30" spans="2:62" ht="20.100000000000001" customHeight="1" x14ac:dyDescent="0.25">
      <c r="B30" s="179"/>
      <c r="C30" s="369" t="s">
        <v>125</v>
      </c>
      <c r="D30" s="366"/>
      <c r="E30" s="367">
        <f>E21*T37*E29/0.8</f>
        <v>52.249999999999993</v>
      </c>
      <c r="F30" s="10" t="s">
        <v>4</v>
      </c>
      <c r="G30" s="53"/>
      <c r="H30" s="53"/>
      <c r="I30" s="53"/>
      <c r="J30" s="10" t="s">
        <v>23</v>
      </c>
      <c r="K30" s="10"/>
      <c r="L30" s="489">
        <v>50</v>
      </c>
      <c r="M30" s="10" t="s">
        <v>22</v>
      </c>
      <c r="N30" s="66">
        <f>Z72</f>
        <v>1200</v>
      </c>
      <c r="P30" s="184"/>
      <c r="R30" s="62"/>
      <c r="S30" s="62"/>
      <c r="T30" s="62"/>
      <c r="U30" s="62"/>
      <c r="V30" s="62"/>
      <c r="W30" s="62"/>
      <c r="Y30" s="202" t="s">
        <v>1810</v>
      </c>
      <c r="Z30" s="203"/>
      <c r="AA30" s="202" t="s">
        <v>1814</v>
      </c>
      <c r="AB30" s="203"/>
      <c r="AC30" s="202" t="s">
        <v>1815</v>
      </c>
      <c r="AD30" s="203"/>
      <c r="AF30" s="62"/>
      <c r="AG30" s="62"/>
      <c r="AH30" s="68"/>
      <c r="AI30" s="68"/>
      <c r="AJ30" s="201"/>
      <c r="AL30" s="62"/>
      <c r="AM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</row>
    <row r="31" spans="2:62" ht="20.100000000000001" customHeight="1" x14ac:dyDescent="0.25">
      <c r="B31" s="179"/>
      <c r="C31" s="113" t="s">
        <v>104</v>
      </c>
      <c r="D31" s="114"/>
      <c r="E31" s="109">
        <f>Z78</f>
        <v>94.05</v>
      </c>
      <c r="F31" s="115" t="s">
        <v>2</v>
      </c>
      <c r="G31" s="10"/>
      <c r="H31" s="53"/>
      <c r="I31" s="53"/>
      <c r="J31" s="10" t="s">
        <v>20</v>
      </c>
      <c r="K31" s="10"/>
      <c r="L31" s="489">
        <v>50</v>
      </c>
      <c r="M31" s="10" t="s">
        <v>21</v>
      </c>
      <c r="N31" s="67">
        <f>Z75</f>
        <v>1200</v>
      </c>
      <c r="P31" s="184"/>
      <c r="S31" s="202" t="s">
        <v>37</v>
      </c>
      <c r="T31" s="204"/>
      <c r="U31" s="98"/>
      <c r="V31" s="203"/>
      <c r="W31" s="62"/>
      <c r="Y31" s="28" t="s">
        <v>1804</v>
      </c>
      <c r="Z31" s="29">
        <f>E68</f>
        <v>20</v>
      </c>
      <c r="AA31" s="28" t="s">
        <v>1804</v>
      </c>
      <c r="AB31" s="29">
        <f>(E19-E20)/LN((E19+273.15)/(E20+273.15))-273.15</f>
        <v>39.973386875495237</v>
      </c>
      <c r="AC31" s="28" t="s">
        <v>1804</v>
      </c>
      <c r="AD31" s="29">
        <f>E57</f>
        <v>65</v>
      </c>
      <c r="AF31" s="62"/>
      <c r="AG31" s="62"/>
      <c r="AH31" s="68"/>
      <c r="AI31" s="68"/>
      <c r="AJ31" s="201"/>
      <c r="AS31" s="62"/>
    </row>
    <row r="32" spans="2:62" ht="18.75" customHeight="1" thickBot="1" x14ac:dyDescent="0.3">
      <c r="B32" s="197"/>
      <c r="C32" s="205"/>
      <c r="D32" s="206"/>
      <c r="E32" s="206"/>
      <c r="F32" s="206"/>
      <c r="G32" s="206"/>
      <c r="H32" s="206"/>
      <c r="I32" s="206"/>
      <c r="J32" s="206"/>
      <c r="K32" s="207"/>
      <c r="L32" s="208"/>
      <c r="M32" s="208"/>
      <c r="N32" s="206"/>
      <c r="O32" s="208"/>
      <c r="P32" s="209"/>
      <c r="S32" s="210"/>
      <c r="T32" s="10"/>
      <c r="V32" s="96"/>
      <c r="W32" s="62"/>
      <c r="Y32" s="28" t="s">
        <v>1805</v>
      </c>
      <c r="Z32" s="29">
        <f>INDEX(Stoffwerte!A3:A43,MATCH(Z31,Stoffwerte!A3:A43,1))</f>
        <v>20</v>
      </c>
      <c r="AA32" s="28" t="s">
        <v>1805</v>
      </c>
      <c r="AB32" s="29">
        <f>INDEX(Stoffwerte!L3:L143,MATCH(AB31,Stoffwerte!L3:L143,1))</f>
        <v>39.5</v>
      </c>
      <c r="AC32" s="28" t="s">
        <v>1805</v>
      </c>
      <c r="AD32" s="29">
        <f>INDEX(Stoffwerte!L3:L143,MATCH(AD31,Stoffwerte!L3:L143,1))</f>
        <v>65</v>
      </c>
      <c r="AF32" s="62"/>
      <c r="AG32" s="62"/>
      <c r="AH32" s="68"/>
      <c r="AI32" s="68"/>
      <c r="AJ32" s="201"/>
      <c r="AS32" s="62"/>
    </row>
    <row r="33" spans="1:62" ht="18.75" customHeight="1" thickBot="1" x14ac:dyDescent="0.3">
      <c r="B33" s="197"/>
      <c r="K33" s="169"/>
      <c r="L33" s="68"/>
      <c r="M33" s="68"/>
      <c r="O33" s="68"/>
      <c r="P33" s="68"/>
      <c r="S33" s="210"/>
      <c r="T33" s="10"/>
      <c r="V33" s="96"/>
      <c r="W33" s="62"/>
      <c r="Y33" s="28"/>
      <c r="Z33" s="29"/>
      <c r="AA33" s="28"/>
      <c r="AB33" s="29"/>
      <c r="AC33" s="28"/>
      <c r="AD33" s="29"/>
      <c r="AF33" s="62"/>
      <c r="AG33" s="62"/>
      <c r="AH33" s="68"/>
      <c r="AI33" s="68"/>
      <c r="AJ33" s="201"/>
      <c r="AS33" s="62"/>
    </row>
    <row r="34" spans="1:62" ht="18.75" customHeight="1" x14ac:dyDescent="0.25">
      <c r="B34" s="517"/>
      <c r="C34" s="211"/>
      <c r="D34" s="212"/>
      <c r="E34" s="212"/>
      <c r="F34" s="212"/>
      <c r="G34" s="182"/>
      <c r="H34" s="182"/>
      <c r="I34" s="182"/>
      <c r="J34" s="182"/>
      <c r="K34" s="213"/>
      <c r="L34" s="212"/>
      <c r="M34" s="212"/>
      <c r="N34" s="212"/>
      <c r="O34" s="212"/>
      <c r="P34" s="214"/>
      <c r="S34" s="210"/>
      <c r="T34" s="10"/>
      <c r="V34" s="96"/>
      <c r="W34" s="62"/>
      <c r="Y34" s="28" t="s">
        <v>1806</v>
      </c>
      <c r="Z34" s="30">
        <f>INDEX(Stoffwerte!B3:B43,MATCH(Z31,Stoffwerte!A3:A43,1))</f>
        <v>1.204</v>
      </c>
      <c r="AA34" s="28" t="s">
        <v>1806</v>
      </c>
      <c r="AB34" s="30">
        <f>INDEX(Stoffwerte!M3:M143,MATCH(AB31,Stoffwerte!L3:L143,1))</f>
        <v>992.404</v>
      </c>
      <c r="AC34" s="28" t="s">
        <v>1806</v>
      </c>
      <c r="AD34" s="30">
        <f>INDEX(Stoffwerte!M3:M143,MATCH(AD31,Stoffwerte!L3:L143,1))</f>
        <v>980.54699999999991</v>
      </c>
      <c r="AF34" s="62"/>
      <c r="AG34" s="62"/>
      <c r="AH34" s="68"/>
      <c r="AI34" s="68"/>
      <c r="AJ34" s="201"/>
      <c r="AS34" s="62"/>
    </row>
    <row r="35" spans="1:62" ht="15" customHeight="1" x14ac:dyDescent="0.25">
      <c r="B35" s="517"/>
      <c r="C35" s="106" t="s">
        <v>66</v>
      </c>
      <c r="P35" s="184"/>
      <c r="S35" s="215" t="s">
        <v>38</v>
      </c>
      <c r="T35" s="118">
        <v>1.01</v>
      </c>
      <c r="U35" s="121" t="s">
        <v>39</v>
      </c>
      <c r="V35" s="216"/>
      <c r="W35" s="62"/>
      <c r="Y35" s="28" t="s">
        <v>1807</v>
      </c>
      <c r="Z35" s="29">
        <f>INDEX(Stoffwerte!A3:A43,MATCH(Z31,Stoffwerte!A3:A43,1)+1)</f>
        <v>25</v>
      </c>
      <c r="AA35" s="28" t="s">
        <v>1807</v>
      </c>
      <c r="AB35" s="29">
        <f>INDEX(Stoffwerte!L3:L143,MATCH(AB31,Stoffwerte!L3:L143,1)+1)</f>
        <v>40</v>
      </c>
      <c r="AC35" s="28" t="s">
        <v>1807</v>
      </c>
      <c r="AD35" s="29">
        <f>INDEX(Stoffwerte!L3:L143,MATCH(AD31,Stoffwerte!L3:L143,1)+1)</f>
        <v>66</v>
      </c>
      <c r="AF35" s="62"/>
      <c r="AG35" s="62"/>
      <c r="AH35" s="54"/>
      <c r="AI35" s="68"/>
      <c r="AJ35" s="217"/>
      <c r="AS35" s="62"/>
    </row>
    <row r="36" spans="1:62" ht="15" customHeight="1" x14ac:dyDescent="0.25">
      <c r="B36" s="517"/>
      <c r="C36" s="106"/>
      <c r="J36" s="134" t="s">
        <v>1870</v>
      </c>
      <c r="P36" s="184"/>
      <c r="S36" s="215"/>
      <c r="T36" s="118"/>
      <c r="U36" s="121"/>
      <c r="V36" s="216"/>
      <c r="W36" s="62"/>
      <c r="Y36" s="28"/>
      <c r="Z36" s="29"/>
      <c r="AA36" s="28"/>
      <c r="AB36" s="29"/>
      <c r="AC36" s="28"/>
      <c r="AD36" s="29"/>
      <c r="AF36" s="62"/>
      <c r="AG36" s="62"/>
      <c r="AH36" s="54"/>
      <c r="AI36" s="68"/>
      <c r="AJ36" s="217"/>
      <c r="AS36" s="62"/>
    </row>
    <row r="37" spans="1:62" ht="20.100000000000001" customHeight="1" x14ac:dyDescent="0.25">
      <c r="B37" s="517"/>
      <c r="C37" s="35" t="s">
        <v>158</v>
      </c>
      <c r="D37" s="10"/>
      <c r="E37" s="490"/>
      <c r="F37" s="10" t="s">
        <v>157</v>
      </c>
      <c r="P37" s="184"/>
      <c r="S37" s="215" t="s">
        <v>36</v>
      </c>
      <c r="T37" s="118">
        <v>4.18</v>
      </c>
      <c r="U37" s="121" t="s">
        <v>39</v>
      </c>
      <c r="V37" s="216"/>
      <c r="W37" s="62"/>
      <c r="Y37" s="28" t="s">
        <v>1808</v>
      </c>
      <c r="Z37" s="30">
        <f>INDEX(Stoffwerte!B3:B43,MATCH(Z31,Stoffwerte!A3:A43,1)+1)</f>
        <v>1.1839999999999999</v>
      </c>
      <c r="AA37" s="28" t="s">
        <v>1808</v>
      </c>
      <c r="AB37" s="30">
        <f>INDEX(Stoffwerte!M3:M143,MATCH(AB31,Stoffwerte!L3:L143,1)+1)</f>
        <v>992.21400000000006</v>
      </c>
      <c r="AC37" s="28" t="s">
        <v>1808</v>
      </c>
      <c r="AD37" s="30">
        <f>INDEX(Stoffwerte!M3:M143,MATCH(AD31,Stoffwerte!L3:L143,1)+1)</f>
        <v>980.00099999999998</v>
      </c>
      <c r="AF37" s="62"/>
      <c r="AG37" s="62"/>
      <c r="AH37" s="54"/>
      <c r="AI37" s="68"/>
      <c r="AJ37" s="217"/>
      <c r="AS37" s="62"/>
    </row>
    <row r="38" spans="1:62" ht="27" customHeight="1" x14ac:dyDescent="0.25">
      <c r="B38" s="517"/>
      <c r="C38" s="35"/>
      <c r="D38" s="118" t="s">
        <v>150</v>
      </c>
      <c r="E38" s="451">
        <v>80</v>
      </c>
      <c r="F38" s="10" t="s">
        <v>2</v>
      </c>
      <c r="H38" s="6"/>
      <c r="I38" s="6"/>
      <c r="J38" s="50" t="s">
        <v>129</v>
      </c>
      <c r="K38" s="117"/>
      <c r="L38" s="117"/>
      <c r="M38" s="117"/>
      <c r="N38" s="117"/>
      <c r="P38" s="184"/>
      <c r="S38" s="202" t="s">
        <v>7</v>
      </c>
      <c r="T38" s="204"/>
      <c r="U38" s="204"/>
      <c r="V38" s="218"/>
      <c r="W38" s="62"/>
      <c r="X38" s="62"/>
      <c r="Y38" s="28"/>
      <c r="Z38" s="29"/>
      <c r="AA38" s="28"/>
      <c r="AB38" s="29"/>
      <c r="AC38" s="28"/>
      <c r="AD38" s="29"/>
      <c r="AE38" s="91"/>
      <c r="AF38" s="62"/>
      <c r="AG38" s="62"/>
      <c r="AH38" s="68"/>
      <c r="AI38" s="68"/>
      <c r="AJ38" s="219"/>
      <c r="AS38" s="62"/>
    </row>
    <row r="39" spans="1:62" ht="20.100000000000001" customHeight="1" x14ac:dyDescent="0.25">
      <c r="B39" s="517"/>
      <c r="C39" s="111"/>
      <c r="G39" s="69"/>
      <c r="J39" s="10" t="s">
        <v>9</v>
      </c>
      <c r="K39" s="62"/>
      <c r="L39" s="461"/>
      <c r="M39" s="37" t="s">
        <v>6</v>
      </c>
      <c r="P39" s="184"/>
      <c r="S39" s="220" t="s">
        <v>38</v>
      </c>
      <c r="T39" s="221">
        <f>Z39</f>
        <v>1.204</v>
      </c>
      <c r="U39" s="10" t="s">
        <v>31</v>
      </c>
      <c r="V39" s="216"/>
      <c r="W39" s="62"/>
      <c r="X39" s="62"/>
      <c r="Y39" s="31" t="s">
        <v>1809</v>
      </c>
      <c r="Z39" s="32">
        <f>Z34+(Z31-Z32)*(Z37-Z34)/(Z35-Z32)</f>
        <v>1.204</v>
      </c>
      <c r="AA39" s="31" t="s">
        <v>1809</v>
      </c>
      <c r="AB39" s="32">
        <f>AB34+(AB31-AB32)*(AB37-AB34)/(AB35-AB32)</f>
        <v>992.22411298731186</v>
      </c>
      <c r="AC39" s="31" t="s">
        <v>1809</v>
      </c>
      <c r="AD39" s="32">
        <f>AD34+(AD31-AD32)*(AD37-AD34)/(AD35-AD32)</f>
        <v>980.54699999999991</v>
      </c>
      <c r="AE39" s="91"/>
      <c r="AF39" s="62"/>
      <c r="AG39" s="62"/>
      <c r="AH39" s="169"/>
      <c r="AI39" s="169"/>
      <c r="AJ39" s="201"/>
      <c r="AS39" s="62"/>
    </row>
    <row r="40" spans="1:62" ht="20.100000000000001" customHeight="1" x14ac:dyDescent="0.25">
      <c r="B40" s="517"/>
      <c r="C40" s="119" t="s">
        <v>161</v>
      </c>
      <c r="D40" s="94"/>
      <c r="E40" s="94"/>
      <c r="F40" s="94"/>
      <c r="G40" s="69"/>
      <c r="J40" s="10" t="s">
        <v>10</v>
      </c>
      <c r="K40" s="62"/>
      <c r="L40" s="461"/>
      <c r="M40" s="37" t="s">
        <v>11</v>
      </c>
      <c r="N40" s="57" t="s">
        <v>1854</v>
      </c>
      <c r="O40" s="68"/>
      <c r="P40" s="184"/>
      <c r="S40" s="222" t="s">
        <v>1812</v>
      </c>
      <c r="T40" s="223">
        <f>AB39</f>
        <v>992.22411298731186</v>
      </c>
      <c r="U40" s="224" t="s">
        <v>31</v>
      </c>
      <c r="V40" s="225"/>
      <c r="W40" s="62"/>
      <c r="X40" s="62"/>
      <c r="Y40" s="62"/>
      <c r="Z40" s="91"/>
      <c r="AA40" s="91"/>
      <c r="AB40" s="91"/>
      <c r="AC40" s="91"/>
      <c r="AD40" s="91"/>
      <c r="AE40" s="91"/>
      <c r="AF40" s="62"/>
      <c r="AG40" s="62"/>
      <c r="AS40" s="62"/>
    </row>
    <row r="41" spans="1:62" ht="20.100000000000001" customHeight="1" x14ac:dyDescent="0.25">
      <c r="B41" s="517"/>
      <c r="C41" s="35" t="s">
        <v>162</v>
      </c>
      <c r="D41" s="488" t="s">
        <v>51</v>
      </c>
      <c r="E41" s="120">
        <f>IF(D41="","",VLOOKUP(D41,S44:U48,3,FALSE))</f>
        <v>145</v>
      </c>
      <c r="F41" s="57" t="str">
        <f>CONCATENATE("kWh/m²*a (Mittel aus ",VLOOKUP(E41,U44:V48,2,FALSE)," kWh/m²*a)")</f>
        <v>kWh/m²*a (Mittel aus 110 … 180 kWh/m²*a)</v>
      </c>
      <c r="G41" s="7"/>
      <c r="J41" s="10" t="s">
        <v>13</v>
      </c>
      <c r="K41" s="62"/>
      <c r="L41" s="452"/>
      <c r="M41" s="37" t="s">
        <v>12</v>
      </c>
      <c r="N41" s="58">
        <f>L39*L40*L41</f>
        <v>0</v>
      </c>
      <c r="O41" s="92"/>
      <c r="P41" s="184"/>
      <c r="S41" s="222" t="s">
        <v>1813</v>
      </c>
      <c r="T41" s="226">
        <f>AD39</f>
        <v>980.54699999999991</v>
      </c>
      <c r="U41" s="224" t="s">
        <v>31</v>
      </c>
      <c r="V41" s="227"/>
      <c r="X41" s="62"/>
      <c r="Y41" s="62"/>
      <c r="Z41" s="91"/>
      <c r="AA41" s="91"/>
      <c r="AB41" s="91"/>
      <c r="AC41" s="91"/>
      <c r="AD41" s="91"/>
      <c r="AE41" s="91"/>
      <c r="AS41" s="62"/>
    </row>
    <row r="42" spans="1:62" s="62" customFormat="1" ht="20.100000000000001" customHeight="1" x14ac:dyDescent="0.25">
      <c r="A42" s="228"/>
      <c r="B42" s="517"/>
      <c r="C42" s="35" t="s">
        <v>163</v>
      </c>
      <c r="D42" s="69"/>
      <c r="E42" s="451">
        <v>150</v>
      </c>
      <c r="F42" s="10" t="s">
        <v>49</v>
      </c>
      <c r="G42" s="10"/>
      <c r="H42" s="37"/>
      <c r="I42" s="37"/>
      <c r="P42" s="195"/>
      <c r="Q42" s="228"/>
      <c r="R42" s="37"/>
      <c r="S42" s="229" t="s">
        <v>43</v>
      </c>
      <c r="T42" s="98"/>
      <c r="U42" s="98"/>
      <c r="V42" s="98"/>
      <c r="W42" s="203"/>
      <c r="Z42" s="91"/>
      <c r="AA42" s="91"/>
      <c r="AB42" s="91"/>
      <c r="AC42" s="91"/>
      <c r="AD42" s="91"/>
      <c r="AE42" s="91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</row>
    <row r="43" spans="1:62" ht="33.950000000000003" customHeight="1" x14ac:dyDescent="0.25">
      <c r="B43" s="517"/>
      <c r="J43" s="512" t="s">
        <v>128</v>
      </c>
      <c r="K43" s="512"/>
      <c r="L43" s="512"/>
      <c r="M43" s="512"/>
      <c r="N43" s="512"/>
      <c r="O43" s="11"/>
      <c r="P43" s="195"/>
      <c r="S43" s="230"/>
      <c r="W43" s="96"/>
      <c r="X43" s="62"/>
      <c r="Y43" s="62"/>
      <c r="AD43" s="91"/>
      <c r="AE43" s="91"/>
      <c r="AJ43" s="62"/>
      <c r="AK43" s="62"/>
      <c r="AL43" s="62"/>
      <c r="AM43" s="62"/>
      <c r="AN43" s="62"/>
      <c r="AO43" s="62"/>
      <c r="AP43" s="62"/>
    </row>
    <row r="44" spans="1:62" ht="30.75" customHeight="1" x14ac:dyDescent="0.25">
      <c r="B44" s="517"/>
      <c r="C44" s="519" t="s">
        <v>1862</v>
      </c>
      <c r="D44" s="512"/>
      <c r="E44" s="512"/>
      <c r="J44" s="11"/>
      <c r="K44" s="11"/>
      <c r="L44" s="11"/>
      <c r="M44" s="11"/>
      <c r="N44" s="11"/>
      <c r="O44" s="11"/>
      <c r="P44" s="184"/>
      <c r="S44" s="95" t="s">
        <v>50</v>
      </c>
      <c r="U44" s="37">
        <v>65</v>
      </c>
      <c r="V44" s="231" t="s">
        <v>47</v>
      </c>
      <c r="W44" s="96" t="s">
        <v>48</v>
      </c>
      <c r="X44" s="62"/>
      <c r="Y44" s="62"/>
      <c r="AD44" s="132"/>
      <c r="AE44" s="91"/>
      <c r="AJ44" s="62"/>
      <c r="AK44" s="62"/>
      <c r="AL44" s="62"/>
      <c r="AM44" s="62"/>
      <c r="AN44" s="62"/>
      <c r="AO44" s="62"/>
      <c r="AP44" s="62"/>
    </row>
    <row r="45" spans="1:62" ht="20.100000000000001" customHeight="1" x14ac:dyDescent="0.25">
      <c r="B45" s="517"/>
      <c r="C45" s="137"/>
      <c r="J45" s="83" t="s">
        <v>15</v>
      </c>
      <c r="K45" s="69"/>
      <c r="L45" s="451"/>
      <c r="M45" s="83" t="s">
        <v>109</v>
      </c>
      <c r="P45" s="184"/>
      <c r="S45" s="220" t="s">
        <v>114</v>
      </c>
      <c r="U45" s="37">
        <v>100</v>
      </c>
      <c r="V45" s="5" t="s">
        <v>115</v>
      </c>
      <c r="W45" s="96" t="s">
        <v>48</v>
      </c>
      <c r="X45" s="62"/>
      <c r="Y45" s="62"/>
      <c r="AD45" s="132"/>
      <c r="AE45" s="91"/>
      <c r="AJ45" s="62"/>
      <c r="AK45" s="62"/>
      <c r="AL45" s="62"/>
      <c r="AM45" s="62"/>
      <c r="AN45" s="62"/>
      <c r="AO45" s="62"/>
      <c r="AP45" s="62"/>
    </row>
    <row r="46" spans="1:62" ht="18.75" customHeight="1" x14ac:dyDescent="0.25">
      <c r="B46" s="517"/>
      <c r="C46" s="35" t="s">
        <v>42</v>
      </c>
      <c r="D46" s="10"/>
      <c r="E46" s="451"/>
      <c r="F46" s="10" t="s">
        <v>4</v>
      </c>
      <c r="N46" s="68"/>
      <c r="P46" s="184"/>
      <c r="S46" s="95" t="s">
        <v>51</v>
      </c>
      <c r="U46" s="37">
        <v>145</v>
      </c>
      <c r="V46" s="5" t="s">
        <v>46</v>
      </c>
      <c r="W46" s="96" t="s">
        <v>48</v>
      </c>
      <c r="X46" s="62"/>
      <c r="Y46" s="62"/>
      <c r="AD46" s="132"/>
      <c r="AE46" s="91"/>
      <c r="AJ46" s="169"/>
      <c r="AK46" s="68"/>
      <c r="AL46" s="232"/>
      <c r="AM46" s="232"/>
      <c r="AN46" s="232"/>
      <c r="AO46" s="232"/>
      <c r="AP46" s="169"/>
    </row>
    <row r="47" spans="1:62" ht="20.100000000000001" customHeight="1" x14ac:dyDescent="0.25">
      <c r="B47" s="517"/>
      <c r="J47" s="56" t="s">
        <v>140</v>
      </c>
      <c r="K47" s="56"/>
      <c r="L47" s="56"/>
      <c r="M47" s="56"/>
      <c r="N47" s="56"/>
      <c r="P47" s="184"/>
      <c r="S47" s="220" t="s">
        <v>52</v>
      </c>
      <c r="U47" s="37">
        <v>215</v>
      </c>
      <c r="V47" s="5" t="s">
        <v>45</v>
      </c>
      <c r="W47" s="96" t="s">
        <v>48</v>
      </c>
      <c r="X47" s="62"/>
      <c r="Y47" s="62"/>
      <c r="AD47" s="132"/>
      <c r="AE47" s="91"/>
      <c r="AJ47" s="169"/>
      <c r="AK47" s="68"/>
      <c r="AL47" s="232"/>
      <c r="AM47" s="232"/>
      <c r="AN47" s="232"/>
      <c r="AO47" s="232"/>
      <c r="AP47" s="169"/>
    </row>
    <row r="48" spans="1:62" s="62" customFormat="1" ht="20.100000000000001" customHeight="1" x14ac:dyDescent="0.25">
      <c r="A48" s="228"/>
      <c r="B48" s="517"/>
      <c r="G48" s="69"/>
      <c r="H48" s="37"/>
      <c r="I48" s="37"/>
      <c r="K48" s="37"/>
      <c r="L48" s="37"/>
      <c r="M48" s="37"/>
      <c r="N48" s="57" t="s">
        <v>1855</v>
      </c>
      <c r="O48" s="37"/>
      <c r="P48" s="184"/>
      <c r="Q48" s="228"/>
      <c r="R48" s="37"/>
      <c r="S48" s="235" t="s">
        <v>53</v>
      </c>
      <c r="T48" s="236"/>
      <c r="U48" s="236">
        <v>275</v>
      </c>
      <c r="V48" s="237" t="s">
        <v>44</v>
      </c>
      <c r="W48" s="238" t="s">
        <v>48</v>
      </c>
      <c r="AF48" s="37"/>
      <c r="AG48" s="37"/>
      <c r="AI48" s="37"/>
      <c r="AJ48" s="169"/>
      <c r="AK48" s="232"/>
      <c r="AL48" s="232"/>
      <c r="AM48" s="232"/>
      <c r="AN48" s="232"/>
      <c r="AO48" s="232"/>
      <c r="AP48" s="169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</row>
    <row r="49" spans="1:62" s="62" customFormat="1" ht="20.100000000000001" customHeight="1" x14ac:dyDescent="0.25">
      <c r="A49" s="228"/>
      <c r="B49" s="517"/>
      <c r="C49" s="233"/>
      <c r="G49" s="69"/>
      <c r="H49" s="37"/>
      <c r="I49" s="37"/>
      <c r="J49" s="10" t="s">
        <v>23</v>
      </c>
      <c r="K49" s="10"/>
      <c r="L49" s="491">
        <v>50</v>
      </c>
      <c r="M49" s="10" t="s">
        <v>22</v>
      </c>
      <c r="N49" s="66">
        <f>AA72</f>
        <v>0</v>
      </c>
      <c r="O49" s="37"/>
      <c r="P49" s="184"/>
      <c r="Q49" s="228"/>
      <c r="R49" s="37"/>
      <c r="AF49" s="37"/>
      <c r="AG49" s="37"/>
      <c r="AI49" s="37"/>
      <c r="AJ49" s="169"/>
      <c r="AK49" s="92"/>
      <c r="AL49" s="150"/>
      <c r="AM49" s="150"/>
      <c r="AN49" s="234"/>
      <c r="AO49" s="150"/>
      <c r="AP49" s="169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</row>
    <row r="50" spans="1:62" s="62" customFormat="1" ht="20.100000000000001" customHeight="1" x14ac:dyDescent="0.25">
      <c r="A50" s="228"/>
      <c r="B50" s="517"/>
      <c r="C50" s="110" t="s">
        <v>103</v>
      </c>
      <c r="D50" s="42"/>
      <c r="E50" s="42"/>
      <c r="F50" s="63"/>
      <c r="G50" s="63"/>
      <c r="H50" s="37"/>
      <c r="I50" s="37"/>
      <c r="J50" s="10" t="s">
        <v>20</v>
      </c>
      <c r="K50" s="10"/>
      <c r="L50" s="489">
        <v>50</v>
      </c>
      <c r="M50" s="10" t="s">
        <v>21</v>
      </c>
      <c r="N50" s="67">
        <f>AA75</f>
        <v>0</v>
      </c>
      <c r="O50" s="37"/>
      <c r="P50" s="184"/>
      <c r="Q50" s="228"/>
      <c r="R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169"/>
      <c r="AK50" s="68"/>
      <c r="AL50" s="150"/>
      <c r="AM50" s="150"/>
      <c r="AN50" s="234"/>
      <c r="AO50" s="150"/>
      <c r="AP50" s="169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</row>
    <row r="51" spans="1:62" s="62" customFormat="1" ht="20.100000000000001" customHeight="1" x14ac:dyDescent="0.25">
      <c r="A51" s="228"/>
      <c r="B51" s="517"/>
      <c r="C51" s="107" t="s">
        <v>104</v>
      </c>
      <c r="D51" s="108"/>
      <c r="E51" s="109">
        <f>IF(OR(E37&gt;0,E38&gt;0),IF(E37&gt;0,E37*10/1000*0.9,E38*0.9),IF(E42&gt;0,E41*E42/(1000*0.9),AA78/0.9))</f>
        <v>72</v>
      </c>
      <c r="F51" s="43" t="s">
        <v>2</v>
      </c>
      <c r="G51" s="71" t="s">
        <v>1869</v>
      </c>
      <c r="H51" s="37"/>
      <c r="I51" s="37"/>
      <c r="J51" s="83"/>
      <c r="K51" s="169"/>
      <c r="L51" s="68"/>
      <c r="M51" s="68"/>
      <c r="O51" s="37"/>
      <c r="P51" s="239"/>
      <c r="Q51" s="228"/>
      <c r="R51" s="37"/>
      <c r="S51" s="37"/>
      <c r="T51" s="91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169"/>
      <c r="AK51" s="68"/>
      <c r="AL51" s="150"/>
      <c r="AM51" s="150"/>
      <c r="AN51" s="234"/>
      <c r="AO51" s="150"/>
      <c r="AP51" s="169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</row>
    <row r="52" spans="1:62" s="62" customFormat="1" ht="15" customHeight="1" thickBot="1" x14ac:dyDescent="0.3">
      <c r="A52" s="228"/>
      <c r="B52" s="517"/>
      <c r="C52" s="36"/>
      <c r="D52" s="206"/>
      <c r="E52" s="206"/>
      <c r="F52" s="206"/>
      <c r="G52" s="206"/>
      <c r="H52" s="206"/>
      <c r="I52" s="206"/>
      <c r="J52" s="240"/>
      <c r="K52" s="240"/>
      <c r="L52" s="240"/>
      <c r="M52" s="240"/>
      <c r="N52" s="240"/>
      <c r="O52" s="206"/>
      <c r="P52" s="241"/>
      <c r="Q52" s="228"/>
      <c r="R52" s="37"/>
      <c r="S52" s="37"/>
      <c r="U52" s="37"/>
      <c r="V52" s="37"/>
      <c r="W52" s="37"/>
      <c r="X52" s="242"/>
      <c r="Y52" s="242"/>
      <c r="Z52" s="242"/>
      <c r="AA52" s="242"/>
      <c r="AB52" s="242"/>
      <c r="AC52" s="242"/>
      <c r="AD52" s="242"/>
      <c r="AE52" s="242"/>
      <c r="AF52" s="242"/>
      <c r="AG52" s="37"/>
      <c r="AH52" s="37"/>
      <c r="AI52" s="37"/>
      <c r="AJ52" s="169"/>
      <c r="AK52" s="68"/>
      <c r="AL52" s="150"/>
      <c r="AM52" s="150"/>
      <c r="AN52" s="234"/>
      <c r="AO52" s="150"/>
      <c r="AP52" s="169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</row>
    <row r="53" spans="1:62" s="62" customFormat="1" ht="21.75" customHeight="1" thickBot="1" x14ac:dyDescent="0.3">
      <c r="A53" s="228"/>
      <c r="B53" s="179"/>
      <c r="C53" s="7"/>
      <c r="D53" s="37"/>
      <c r="E53" s="37"/>
      <c r="F53" s="37"/>
      <c r="G53" s="37"/>
      <c r="H53" s="37"/>
      <c r="I53" s="37"/>
      <c r="J53" s="10"/>
      <c r="L53" s="92"/>
      <c r="M53" s="92"/>
      <c r="N53" s="37"/>
      <c r="O53" s="37"/>
      <c r="P53" s="10"/>
      <c r="Q53" s="228"/>
      <c r="R53" s="37"/>
      <c r="S53" s="243" t="s">
        <v>86</v>
      </c>
      <c r="T53" s="244"/>
      <c r="U53" s="245">
        <f>F115</f>
        <v>15000</v>
      </c>
      <c r="V53" s="37"/>
      <c r="W53" s="37"/>
      <c r="X53" s="249" t="s">
        <v>137</v>
      </c>
      <c r="Y53" s="242"/>
      <c r="Z53" s="242"/>
      <c r="AA53" s="242"/>
      <c r="AB53" s="242"/>
      <c r="AC53" s="242"/>
      <c r="AD53" s="242"/>
      <c r="AE53" s="242"/>
      <c r="AF53" s="242"/>
      <c r="AG53" s="37"/>
      <c r="AH53" s="37"/>
      <c r="AI53" s="37"/>
      <c r="AJ53" s="169"/>
      <c r="AK53" s="68"/>
      <c r="AL53" s="150"/>
      <c r="AM53" s="150"/>
      <c r="AN53" s="234"/>
      <c r="AO53" s="150"/>
      <c r="AP53" s="169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</row>
    <row r="54" spans="1:62" s="62" customFormat="1" ht="14.25" customHeight="1" x14ac:dyDescent="0.25">
      <c r="A54" s="228"/>
      <c r="B54" s="179"/>
      <c r="C54" s="34"/>
      <c r="D54" s="182"/>
      <c r="E54" s="182"/>
      <c r="F54" s="182"/>
      <c r="G54" s="182"/>
      <c r="H54" s="183"/>
      <c r="I54" s="37"/>
      <c r="J54" s="10"/>
      <c r="L54" s="92"/>
      <c r="M54" s="92"/>
      <c r="N54" s="37"/>
      <c r="O54" s="37"/>
      <c r="P54" s="10"/>
      <c r="Q54" s="228"/>
      <c r="R54" s="37"/>
      <c r="S54" s="246"/>
      <c r="T54" s="68"/>
      <c r="U54" s="247"/>
      <c r="V54" s="37"/>
      <c r="W54" s="37"/>
      <c r="X54" s="249" t="s">
        <v>81</v>
      </c>
      <c r="Y54" s="242"/>
      <c r="Z54" s="242"/>
      <c r="AA54" s="242"/>
      <c r="AB54" s="242"/>
      <c r="AC54" s="242"/>
      <c r="AD54" s="242"/>
      <c r="AE54" s="242"/>
      <c r="AF54" s="242"/>
      <c r="AG54" s="37"/>
      <c r="AH54" s="37"/>
      <c r="AI54" s="37"/>
      <c r="AJ54" s="169"/>
      <c r="AK54" s="68"/>
      <c r="AL54" s="150"/>
      <c r="AM54" s="150"/>
      <c r="AN54" s="234"/>
      <c r="AO54" s="150"/>
      <c r="AP54" s="169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</row>
    <row r="55" spans="1:62" s="62" customFormat="1" ht="15" customHeight="1" x14ac:dyDescent="0.25">
      <c r="A55" s="228"/>
      <c r="B55" s="179"/>
      <c r="C55" s="106" t="s">
        <v>67</v>
      </c>
      <c r="D55" s="37"/>
      <c r="E55" s="37"/>
      <c r="F55" s="37"/>
      <c r="G55" s="37"/>
      <c r="H55" s="184"/>
      <c r="I55" s="37"/>
      <c r="J55" s="10"/>
      <c r="M55" s="68"/>
      <c r="N55" s="37"/>
      <c r="O55" s="37"/>
      <c r="P55" s="10"/>
      <c r="Q55" s="228"/>
      <c r="R55" s="37"/>
      <c r="S55" s="246" t="s">
        <v>87</v>
      </c>
      <c r="T55" s="68"/>
      <c r="U55" s="248">
        <v>0.02</v>
      </c>
      <c r="V55" s="37"/>
      <c r="W55" s="37"/>
      <c r="X55" s="250" t="s">
        <v>138</v>
      </c>
      <c r="Y55" s="242"/>
      <c r="Z55" s="242"/>
      <c r="AA55" s="242"/>
      <c r="AB55" s="242"/>
      <c r="AC55" s="242"/>
      <c r="AD55" s="242"/>
      <c r="AE55" s="242"/>
      <c r="AF55" s="242"/>
      <c r="AG55" s="37"/>
      <c r="AH55" s="37"/>
      <c r="AI55" s="37"/>
      <c r="AJ55" s="169"/>
      <c r="AK55" s="169"/>
      <c r="AL55" s="169"/>
      <c r="AM55" s="169"/>
      <c r="AN55" s="169"/>
      <c r="AO55" s="169"/>
      <c r="AP55" s="169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</row>
    <row r="56" spans="1:62" s="62" customFormat="1" ht="15" customHeight="1" x14ac:dyDescent="0.25">
      <c r="A56" s="228"/>
      <c r="B56" s="179"/>
      <c r="C56" s="106"/>
      <c r="D56" s="37"/>
      <c r="E56" s="37"/>
      <c r="F56" s="37"/>
      <c r="G56" s="37"/>
      <c r="H56" s="184"/>
      <c r="I56" s="37"/>
      <c r="J56" s="10"/>
      <c r="M56" s="68"/>
      <c r="N56" s="37"/>
      <c r="O56" s="37"/>
      <c r="P56" s="10"/>
      <c r="Q56" s="228"/>
      <c r="R56" s="37"/>
      <c r="S56" s="246"/>
      <c r="T56" s="68"/>
      <c r="U56" s="248"/>
      <c r="V56" s="37"/>
      <c r="W56" s="37"/>
      <c r="X56" s="251" t="s">
        <v>139</v>
      </c>
      <c r="Y56" s="242"/>
      <c r="Z56" s="242"/>
      <c r="AA56" s="242"/>
      <c r="AB56" s="242"/>
      <c r="AC56" s="242"/>
      <c r="AD56" s="242"/>
      <c r="AE56" s="242"/>
      <c r="AF56" s="242"/>
      <c r="AG56" s="37"/>
      <c r="AH56" s="37"/>
      <c r="AI56" s="37"/>
      <c r="AJ56" s="169"/>
      <c r="AK56" s="169"/>
      <c r="AL56" s="169"/>
      <c r="AM56" s="169"/>
      <c r="AN56" s="169"/>
      <c r="AO56" s="169"/>
      <c r="AP56" s="169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</row>
    <row r="57" spans="1:62" s="62" customFormat="1" ht="20.100000000000001" customHeight="1" x14ac:dyDescent="0.25">
      <c r="A57" s="228"/>
      <c r="B57" s="179"/>
      <c r="C57" s="111" t="s">
        <v>55</v>
      </c>
      <c r="D57" s="10"/>
      <c r="E57" s="492">
        <v>65</v>
      </c>
      <c r="F57" s="121" t="s">
        <v>3</v>
      </c>
      <c r="G57" s="7"/>
      <c r="H57" s="184"/>
      <c r="I57" s="37"/>
      <c r="J57" s="37"/>
      <c r="K57" s="37"/>
      <c r="L57" s="37"/>
      <c r="M57" s="37"/>
      <c r="N57" s="37"/>
      <c r="O57" s="37"/>
      <c r="P57" s="37"/>
      <c r="Q57" s="228"/>
      <c r="R57" s="37"/>
      <c r="S57" s="246"/>
      <c r="T57" s="68"/>
      <c r="U57" s="248"/>
      <c r="V57" s="37"/>
      <c r="W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</row>
    <row r="58" spans="1:62" s="62" customFormat="1" ht="20.100000000000001" customHeight="1" x14ac:dyDescent="0.25">
      <c r="A58" s="228"/>
      <c r="B58" s="179"/>
      <c r="C58" s="35" t="s">
        <v>54</v>
      </c>
      <c r="D58" s="10"/>
      <c r="E58" s="493">
        <v>1500</v>
      </c>
      <c r="F58" s="10" t="s">
        <v>68</v>
      </c>
      <c r="G58" s="10"/>
      <c r="H58" s="184"/>
      <c r="I58" s="37"/>
      <c r="J58" s="37"/>
      <c r="K58" s="37"/>
      <c r="L58" s="37"/>
      <c r="M58" s="37"/>
      <c r="N58" s="37"/>
      <c r="O58" s="37"/>
      <c r="P58" s="37"/>
      <c r="Q58" s="228"/>
      <c r="R58" s="37"/>
      <c r="S58" s="95" t="s">
        <v>88</v>
      </c>
      <c r="T58" s="68"/>
      <c r="U58" s="247">
        <f>E101*Abwärmequellen!E77</f>
        <v>1963.8172791575855</v>
      </c>
      <c r="Y58" s="44"/>
      <c r="Z58" s="37"/>
      <c r="AA58" s="37"/>
      <c r="AB58" s="37"/>
      <c r="AC58" s="37"/>
      <c r="AD58" s="37"/>
      <c r="AE58" s="37"/>
      <c r="AF58" s="37"/>
      <c r="AG58" s="37"/>
      <c r="AH58" s="53"/>
      <c r="AI58" s="53"/>
      <c r="AJ58" s="53"/>
      <c r="AK58" s="53"/>
      <c r="AL58" s="53"/>
      <c r="AM58" s="53"/>
      <c r="AN58" s="53"/>
      <c r="AO58" s="53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</row>
    <row r="59" spans="1:62" s="62" customFormat="1" ht="20.100000000000001" customHeight="1" x14ac:dyDescent="0.25">
      <c r="A59" s="228"/>
      <c r="B59" s="126"/>
      <c r="C59" s="35" t="s">
        <v>130</v>
      </c>
      <c r="D59" s="69"/>
      <c r="E59" s="451">
        <v>40</v>
      </c>
      <c r="F59" s="10" t="s">
        <v>3</v>
      </c>
      <c r="G59" s="7"/>
      <c r="H59" s="184"/>
      <c r="I59" s="37"/>
      <c r="J59" s="10"/>
      <c r="L59" s="172"/>
      <c r="M59" s="37"/>
      <c r="N59" s="37"/>
      <c r="O59" s="10"/>
      <c r="P59" s="37"/>
      <c r="Q59" s="228"/>
      <c r="R59" s="37"/>
      <c r="S59" s="95" t="s">
        <v>89</v>
      </c>
      <c r="T59" s="68"/>
      <c r="U59" s="247">
        <f>F119</f>
        <v>10</v>
      </c>
      <c r="Y59" s="10"/>
      <c r="Z59" s="37"/>
      <c r="AA59" s="37"/>
      <c r="AB59" s="37"/>
      <c r="AC59" s="37"/>
      <c r="AD59" s="37"/>
      <c r="AE59" s="37"/>
      <c r="AF59" s="37"/>
      <c r="AG59" s="37"/>
      <c r="AH59" s="53"/>
      <c r="AI59" s="53"/>
      <c r="AJ59" s="53"/>
      <c r="AK59" s="53"/>
      <c r="AL59" s="53"/>
      <c r="AM59" s="53"/>
      <c r="AN59" s="53"/>
      <c r="AO59" s="53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</row>
    <row r="60" spans="1:62" s="62" customFormat="1" ht="15" customHeight="1" x14ac:dyDescent="0.25">
      <c r="A60" s="228"/>
      <c r="B60" s="252"/>
      <c r="C60" s="137"/>
      <c r="D60" s="81"/>
      <c r="E60" s="8"/>
      <c r="F60" s="9"/>
      <c r="G60" s="9"/>
      <c r="H60" s="199"/>
      <c r="I60" s="68"/>
      <c r="J60" s="83"/>
      <c r="K60" s="169"/>
      <c r="L60" s="172"/>
      <c r="M60" s="68"/>
      <c r="N60" s="68"/>
      <c r="O60" s="83"/>
      <c r="P60" s="68"/>
      <c r="Q60" s="228"/>
      <c r="R60" s="37"/>
      <c r="S60" s="95"/>
      <c r="T60" s="68"/>
      <c r="U60" s="253"/>
      <c r="X60" s="37"/>
      <c r="Y60" s="37"/>
      <c r="Z60" s="37"/>
      <c r="AA60" s="37"/>
      <c r="AB60" s="37"/>
      <c r="AC60" s="68"/>
      <c r="AD60" s="37"/>
      <c r="AE60" s="37"/>
      <c r="AF60" s="37"/>
      <c r="AG60" s="37"/>
      <c r="AH60" s="53"/>
      <c r="AI60" s="53"/>
      <c r="AJ60" s="53"/>
      <c r="AK60" s="53"/>
      <c r="AL60" s="53"/>
      <c r="AM60" s="53"/>
      <c r="AN60" s="53"/>
      <c r="AO60" s="53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</row>
    <row r="61" spans="1:62" ht="18.75" x14ac:dyDescent="0.25">
      <c r="B61" s="252"/>
      <c r="C61" s="110" t="s">
        <v>103</v>
      </c>
      <c r="D61" s="123"/>
      <c r="E61" s="122"/>
      <c r="F61" s="9"/>
      <c r="G61" s="9"/>
      <c r="H61" s="199"/>
      <c r="I61" s="68"/>
      <c r="J61" s="83"/>
      <c r="K61" s="169"/>
      <c r="L61" s="172"/>
      <c r="M61" s="68"/>
      <c r="N61" s="68"/>
      <c r="O61" s="83"/>
      <c r="P61" s="68"/>
      <c r="S61" s="95"/>
      <c r="T61" s="68"/>
      <c r="U61" s="253"/>
      <c r="AC61" s="68"/>
      <c r="AH61" s="53"/>
      <c r="AI61" s="53"/>
      <c r="AJ61" s="53"/>
      <c r="AK61" s="53"/>
      <c r="AL61" s="53"/>
      <c r="AM61" s="53"/>
      <c r="AN61" s="53"/>
      <c r="AO61" s="53"/>
    </row>
    <row r="62" spans="1:62" ht="20.100000000000001" customHeight="1" x14ac:dyDescent="0.25">
      <c r="B62" s="126"/>
      <c r="C62" s="107" t="s">
        <v>104</v>
      </c>
      <c r="D62" s="108"/>
      <c r="E62" s="109">
        <f>E58*T41*T37*(E57-E59)/(3600*8760*0.8)</f>
        <v>6.0922732056221447</v>
      </c>
      <c r="F62" s="43" t="s">
        <v>2</v>
      </c>
      <c r="G62" s="71" t="s">
        <v>126</v>
      </c>
      <c r="H62" s="239"/>
      <c r="I62" s="10"/>
      <c r="J62" s="10"/>
      <c r="K62" s="62"/>
      <c r="L62" s="172"/>
      <c r="O62" s="10"/>
      <c r="S62" s="95" t="s">
        <v>90</v>
      </c>
      <c r="T62" s="68"/>
      <c r="U62" s="254">
        <f>IRR(U66:U123)</f>
        <v>3.4132933481279659E-2</v>
      </c>
      <c r="Y62" s="10"/>
      <c r="AC62" s="68"/>
      <c r="AG62" s="68"/>
      <c r="AH62" s="53"/>
      <c r="AI62" s="53"/>
      <c r="AJ62" s="53"/>
      <c r="AK62" s="53"/>
      <c r="AL62" s="53"/>
      <c r="AM62" s="53"/>
      <c r="AN62" s="53"/>
      <c r="AO62" s="53"/>
    </row>
    <row r="63" spans="1:62" ht="15" customHeight="1" thickBot="1" x14ac:dyDescent="0.3">
      <c r="B63" s="126"/>
      <c r="C63" s="255"/>
      <c r="D63" s="240"/>
      <c r="E63" s="240"/>
      <c r="F63" s="240"/>
      <c r="G63" s="240"/>
      <c r="H63" s="241"/>
      <c r="I63" s="10"/>
      <c r="J63" s="10"/>
      <c r="K63" s="62"/>
      <c r="L63" s="172"/>
      <c r="S63" s="220"/>
      <c r="U63" s="96"/>
      <c r="X63" s="54" t="s">
        <v>141</v>
      </c>
      <c r="Y63" s="68"/>
      <c r="Z63" s="196" t="s">
        <v>137</v>
      </c>
      <c r="AA63" s="196" t="s">
        <v>142</v>
      </c>
      <c r="AB63" s="196" t="s">
        <v>143</v>
      </c>
      <c r="AC63" s="68"/>
      <c r="AD63" s="169"/>
      <c r="AE63" s="169"/>
      <c r="AG63" s="68"/>
      <c r="AH63" s="53"/>
      <c r="AI63" s="53"/>
      <c r="AJ63" s="53"/>
      <c r="AK63" s="53"/>
      <c r="AL63" s="53"/>
      <c r="AM63" s="53"/>
      <c r="AN63" s="53"/>
      <c r="AO63" s="53"/>
    </row>
    <row r="64" spans="1:62" ht="15.75" customHeight="1" thickBot="1" x14ac:dyDescent="0.3">
      <c r="B64" s="126"/>
      <c r="C64" s="131"/>
      <c r="D64" s="62"/>
      <c r="E64" s="62"/>
      <c r="F64" s="62"/>
      <c r="G64" s="62"/>
      <c r="H64" s="10"/>
      <c r="I64" s="10"/>
      <c r="J64" s="10"/>
      <c r="K64" s="62"/>
      <c r="L64" s="172"/>
      <c r="S64" s="220"/>
      <c r="T64" s="68" t="s">
        <v>91</v>
      </c>
      <c r="U64" s="253" t="s">
        <v>90</v>
      </c>
      <c r="X64" s="256" t="s">
        <v>9</v>
      </c>
      <c r="Y64" s="257"/>
      <c r="Z64" s="258">
        <f>L19</f>
        <v>12</v>
      </c>
      <c r="AA64" s="258">
        <f>L39</f>
        <v>0</v>
      </c>
      <c r="AB64" s="258">
        <f>L70</f>
        <v>0</v>
      </c>
      <c r="AC64" s="98" t="s">
        <v>6</v>
      </c>
      <c r="AD64" s="257"/>
      <c r="AE64" s="259"/>
      <c r="AG64" s="68"/>
      <c r="AH64" s="53"/>
      <c r="AI64" s="53"/>
      <c r="AJ64" s="53"/>
      <c r="AK64" s="53"/>
      <c r="AL64" s="53"/>
      <c r="AM64" s="53"/>
      <c r="AN64" s="53"/>
      <c r="AO64" s="53"/>
    </row>
    <row r="65" spans="2:41" ht="15.75" customHeight="1" x14ac:dyDescent="0.25">
      <c r="B65" s="126"/>
      <c r="C65" s="260"/>
      <c r="D65" s="261"/>
      <c r="E65" s="261"/>
      <c r="F65" s="261"/>
      <c r="G65" s="261"/>
      <c r="H65" s="262"/>
      <c r="I65" s="262"/>
      <c r="J65" s="262"/>
      <c r="K65" s="261"/>
      <c r="L65" s="263"/>
      <c r="M65" s="182"/>
      <c r="N65" s="182"/>
      <c r="O65" s="182"/>
      <c r="P65" s="183"/>
      <c r="S65" s="220"/>
      <c r="T65" s="68"/>
      <c r="U65" s="253"/>
      <c r="X65" s="220"/>
      <c r="Y65" s="62"/>
      <c r="Z65" s="258"/>
      <c r="AA65" s="258"/>
      <c r="AB65" s="258"/>
      <c r="AD65" s="62"/>
      <c r="AE65" s="264"/>
      <c r="AG65" s="68"/>
      <c r="AH65" s="53"/>
      <c r="AI65" s="53"/>
      <c r="AJ65" s="53"/>
      <c r="AK65" s="53"/>
      <c r="AL65" s="53"/>
      <c r="AM65" s="53"/>
      <c r="AN65" s="53"/>
      <c r="AO65" s="53"/>
    </row>
    <row r="66" spans="2:41" ht="18.75" x14ac:dyDescent="0.25">
      <c r="B66" s="126"/>
      <c r="C66" s="106" t="s">
        <v>134</v>
      </c>
      <c r="D66" s="62"/>
      <c r="E66" s="62"/>
      <c r="F66" s="62"/>
      <c r="G66" s="62"/>
      <c r="H66" s="10"/>
      <c r="I66" s="10"/>
      <c r="J66" s="10"/>
      <c r="K66" s="62"/>
      <c r="L66" s="172"/>
      <c r="P66" s="184"/>
      <c r="S66" s="230"/>
      <c r="T66" s="68">
        <v>1</v>
      </c>
      <c r="U66" s="247">
        <f>-U53</f>
        <v>-15000</v>
      </c>
      <c r="W66" s="265"/>
      <c r="X66" s="220" t="s">
        <v>10</v>
      </c>
      <c r="Y66" s="62"/>
      <c r="Z66" s="258">
        <f>L20</f>
        <v>5</v>
      </c>
      <c r="AA66" s="258">
        <f>L40</f>
        <v>0</v>
      </c>
      <c r="AB66" s="258">
        <f>L71</f>
        <v>0</v>
      </c>
      <c r="AC66" s="37" t="s">
        <v>11</v>
      </c>
      <c r="AD66" s="62"/>
      <c r="AE66" s="264"/>
      <c r="AG66" s="68"/>
      <c r="AH66" s="53"/>
      <c r="AI66" s="53"/>
      <c r="AJ66" s="53"/>
      <c r="AK66" s="53"/>
      <c r="AL66" s="53"/>
      <c r="AM66" s="53"/>
      <c r="AN66" s="53"/>
      <c r="AO66" s="53"/>
    </row>
    <row r="67" spans="2:41" ht="18.75" x14ac:dyDescent="0.25">
      <c r="B67" s="126"/>
      <c r="C67" s="106"/>
      <c r="D67" s="62"/>
      <c r="E67" s="62"/>
      <c r="F67" s="62"/>
      <c r="G67" s="62"/>
      <c r="H67" s="10"/>
      <c r="I67" s="10"/>
      <c r="J67" s="10"/>
      <c r="K67" s="62"/>
      <c r="L67" s="172"/>
      <c r="P67" s="184"/>
      <c r="S67" s="230"/>
      <c r="T67" s="68">
        <v>2</v>
      </c>
      <c r="U67" s="253">
        <f>IF(T66&lt;$U$59,$U$58,"")</f>
        <v>1963.8172791575855</v>
      </c>
      <c r="W67" s="265"/>
      <c r="X67" s="220"/>
      <c r="Y67" s="62"/>
      <c r="Z67" s="258"/>
      <c r="AA67" s="258"/>
      <c r="AB67" s="258"/>
      <c r="AD67" s="62"/>
      <c r="AE67" s="264"/>
      <c r="AG67" s="68"/>
      <c r="AH67" s="53"/>
      <c r="AI67" s="53"/>
      <c r="AJ67" s="53"/>
      <c r="AK67" s="53"/>
      <c r="AL67" s="53"/>
      <c r="AM67" s="53"/>
      <c r="AN67" s="53"/>
      <c r="AO67" s="53"/>
    </row>
    <row r="68" spans="2:41" ht="20.100000000000001" customHeight="1" x14ac:dyDescent="0.25">
      <c r="B68" s="126"/>
      <c r="C68" s="35" t="s">
        <v>159</v>
      </c>
      <c r="E68" s="492">
        <v>20</v>
      </c>
      <c r="F68" s="121" t="s">
        <v>3</v>
      </c>
      <c r="I68" s="10"/>
      <c r="J68" s="50" t="s">
        <v>131</v>
      </c>
      <c r="K68" s="117"/>
      <c r="L68" s="117"/>
      <c r="M68" s="117"/>
      <c r="N68" s="117"/>
      <c r="O68" s="83"/>
      <c r="P68" s="266"/>
      <c r="S68" s="220"/>
      <c r="T68" s="68">
        <v>3</v>
      </c>
      <c r="U68" s="253">
        <f t="shared" ref="U68:U115" si="0">IF(T67&lt;$U$59,$U$58,"")</f>
        <v>1963.8172791575855</v>
      </c>
      <c r="W68" s="149"/>
      <c r="X68" s="220" t="s">
        <v>13</v>
      </c>
      <c r="Y68" s="62"/>
      <c r="Z68" s="258">
        <f>L21</f>
        <v>40</v>
      </c>
      <c r="AA68" s="258">
        <f>L41</f>
        <v>0</v>
      </c>
      <c r="AB68" s="258">
        <f t="shared" ref="AB68" si="1">L72</f>
        <v>0</v>
      </c>
      <c r="AC68" s="37" t="s">
        <v>18</v>
      </c>
      <c r="AD68" s="62"/>
      <c r="AE68" s="264"/>
      <c r="AG68" s="68"/>
      <c r="AH68" s="53"/>
      <c r="AI68" s="53"/>
      <c r="AJ68" s="53"/>
      <c r="AK68" s="53"/>
      <c r="AL68" s="53"/>
      <c r="AM68" s="53"/>
      <c r="AN68" s="53"/>
      <c r="AO68" s="53"/>
    </row>
    <row r="69" spans="2:41" ht="20.100000000000001" customHeight="1" x14ac:dyDescent="0.25">
      <c r="B69" s="126"/>
      <c r="C69" s="35" t="s">
        <v>24</v>
      </c>
      <c r="E69" s="450">
        <v>10</v>
      </c>
      <c r="F69" s="121" t="s">
        <v>19</v>
      </c>
      <c r="G69" s="127" t="s">
        <v>116</v>
      </c>
      <c r="H69" s="128"/>
      <c r="I69" s="10"/>
      <c r="J69" s="44"/>
      <c r="K69" s="62"/>
      <c r="L69" s="62"/>
      <c r="M69" s="62"/>
      <c r="N69" s="62"/>
      <c r="O69" s="83"/>
      <c r="P69" s="266"/>
      <c r="S69" s="220"/>
      <c r="T69" s="68">
        <v>4</v>
      </c>
      <c r="U69" s="253">
        <f t="shared" si="0"/>
        <v>1963.8172791575855</v>
      </c>
      <c r="W69" s="149"/>
      <c r="X69" s="220"/>
      <c r="Y69" s="62"/>
      <c r="Z69" s="258"/>
      <c r="AA69" s="258"/>
      <c r="AB69" s="258"/>
      <c r="AD69" s="62"/>
      <c r="AE69" s="264"/>
      <c r="AG69" s="68"/>
      <c r="AH69" s="53"/>
      <c r="AI69" s="53"/>
      <c r="AJ69" s="53"/>
      <c r="AK69" s="53"/>
      <c r="AL69" s="53"/>
      <c r="AM69" s="53"/>
      <c r="AN69" s="53"/>
      <c r="AO69" s="53"/>
    </row>
    <row r="70" spans="2:41" ht="20.100000000000001" customHeight="1" x14ac:dyDescent="0.25">
      <c r="B70" s="252"/>
      <c r="C70" s="111"/>
      <c r="G70" s="459"/>
      <c r="H70" s="10" t="s">
        <v>156</v>
      </c>
      <c r="I70" s="83"/>
      <c r="J70" s="10" t="s">
        <v>9</v>
      </c>
      <c r="K70" s="62"/>
      <c r="L70" s="461"/>
      <c r="M70" s="37" t="s">
        <v>6</v>
      </c>
      <c r="N70" s="83"/>
      <c r="O70" s="83"/>
      <c r="P70" s="266"/>
      <c r="S70" s="220"/>
      <c r="T70" s="68">
        <v>5</v>
      </c>
      <c r="U70" s="253">
        <f t="shared" si="0"/>
        <v>1963.8172791575855</v>
      </c>
      <c r="W70" s="149"/>
      <c r="X70" s="220" t="s">
        <v>14</v>
      </c>
      <c r="Y70" s="62"/>
      <c r="Z70" s="267">
        <f>L30/100</f>
        <v>0.5</v>
      </c>
      <c r="AA70" s="267">
        <f>L49/100</f>
        <v>0.5</v>
      </c>
      <c r="AB70" s="267">
        <f>L80/100</f>
        <v>0.5</v>
      </c>
      <c r="AC70" s="193" t="s">
        <v>28</v>
      </c>
      <c r="AD70" s="62"/>
      <c r="AE70" s="264"/>
      <c r="AG70" s="68"/>
      <c r="AH70" s="53"/>
      <c r="AI70" s="53"/>
      <c r="AJ70" s="53"/>
      <c r="AK70" s="53"/>
      <c r="AL70" s="53"/>
      <c r="AM70" s="53"/>
      <c r="AN70" s="53"/>
      <c r="AO70" s="53"/>
    </row>
    <row r="71" spans="2:41" ht="20.100000000000001" customHeight="1" x14ac:dyDescent="0.25">
      <c r="B71" s="252"/>
      <c r="C71" s="35" t="s">
        <v>160</v>
      </c>
      <c r="D71" s="62"/>
      <c r="E71" s="457">
        <v>1500</v>
      </c>
      <c r="F71" s="10" t="s">
        <v>105</v>
      </c>
      <c r="G71" s="120">
        <f>G70/T39*3600</f>
        <v>0</v>
      </c>
      <c r="H71" s="10" t="s">
        <v>105</v>
      </c>
      <c r="I71" s="83"/>
      <c r="J71" s="10" t="s">
        <v>10</v>
      </c>
      <c r="K71" s="62"/>
      <c r="L71" s="494"/>
      <c r="M71" s="37" t="s">
        <v>11</v>
      </c>
      <c r="N71" s="57" t="s">
        <v>1854</v>
      </c>
      <c r="O71" s="83"/>
      <c r="P71" s="266"/>
      <c r="S71" s="220"/>
      <c r="T71" s="68">
        <v>6</v>
      </c>
      <c r="U71" s="253">
        <f t="shared" si="0"/>
        <v>1963.8172791575855</v>
      </c>
      <c r="W71" s="149"/>
      <c r="X71" s="220" t="s">
        <v>15</v>
      </c>
      <c r="Z71" s="258">
        <f>IF(L26&gt;0,L26,Z64*Z66*Z68)</f>
        <v>2400</v>
      </c>
      <c r="AA71" s="258">
        <f>IF(L45&gt;0,L45,AA64*AA66*AA68)</f>
        <v>0</v>
      </c>
      <c r="AB71" s="258">
        <f>IF(L76&gt;0,L76,AB64*AB66*AB68)</f>
        <v>2000</v>
      </c>
      <c r="AC71" s="37" t="s">
        <v>6</v>
      </c>
      <c r="AD71" s="62"/>
      <c r="AE71" s="264"/>
      <c r="AH71" s="53"/>
      <c r="AI71" s="53"/>
      <c r="AJ71" s="53"/>
      <c r="AK71" s="53"/>
      <c r="AL71" s="53"/>
      <c r="AM71" s="53"/>
      <c r="AN71" s="53"/>
      <c r="AO71" s="53"/>
    </row>
    <row r="72" spans="2:41" ht="20.100000000000001" customHeight="1" x14ac:dyDescent="0.25">
      <c r="B72" s="252"/>
      <c r="C72" s="111"/>
      <c r="I72" s="83"/>
      <c r="J72" s="10" t="s">
        <v>13</v>
      </c>
      <c r="K72" s="62"/>
      <c r="L72" s="452"/>
      <c r="M72" s="37" t="s">
        <v>12</v>
      </c>
      <c r="N72" s="58">
        <f>L70*L71*L72</f>
        <v>0</v>
      </c>
      <c r="O72" s="83"/>
      <c r="P72" s="266"/>
      <c r="S72" s="220"/>
      <c r="T72" s="68">
        <v>7</v>
      </c>
      <c r="U72" s="253">
        <f t="shared" si="0"/>
        <v>1963.8172791575855</v>
      </c>
      <c r="W72" s="268"/>
      <c r="X72" s="220" t="s">
        <v>16</v>
      </c>
      <c r="Z72" s="258">
        <f>Z71*Z70</f>
        <v>1200</v>
      </c>
      <c r="AA72" s="258">
        <f>AA71*AA70</f>
        <v>0</v>
      </c>
      <c r="AB72" s="258">
        <f>AB71*AB70</f>
        <v>1000</v>
      </c>
      <c r="AC72" s="37" t="s">
        <v>6</v>
      </c>
      <c r="AD72" s="62"/>
      <c r="AE72" s="264"/>
      <c r="AH72" s="53"/>
      <c r="AI72" s="53"/>
      <c r="AJ72" s="53"/>
      <c r="AK72" s="53"/>
      <c r="AL72" s="53"/>
      <c r="AM72" s="53"/>
      <c r="AN72" s="53"/>
      <c r="AO72" s="53"/>
    </row>
    <row r="73" spans="2:41" ht="20.100000000000001" customHeight="1" x14ac:dyDescent="0.25">
      <c r="B73" s="252"/>
      <c r="C73" s="111"/>
      <c r="I73" s="83"/>
      <c r="J73" s="10"/>
      <c r="K73" s="62"/>
      <c r="L73" s="145"/>
      <c r="M73" s="64"/>
      <c r="N73" s="130"/>
      <c r="O73" s="83"/>
      <c r="P73" s="266"/>
      <c r="S73" s="220"/>
      <c r="T73" s="68">
        <v>8</v>
      </c>
      <c r="U73" s="253">
        <f t="shared" si="0"/>
        <v>1963.8172791575855</v>
      </c>
      <c r="W73" s="268"/>
      <c r="X73" s="220"/>
      <c r="Z73" s="258"/>
      <c r="AA73" s="258"/>
      <c r="AB73" s="258"/>
      <c r="AD73" s="62"/>
      <c r="AE73" s="264"/>
      <c r="AH73" s="53"/>
      <c r="AI73" s="53"/>
      <c r="AJ73" s="53"/>
      <c r="AK73" s="53"/>
      <c r="AL73" s="53"/>
      <c r="AM73" s="53"/>
      <c r="AN73" s="53"/>
      <c r="AO73" s="53"/>
    </row>
    <row r="74" spans="2:41" ht="33.950000000000003" customHeight="1" x14ac:dyDescent="0.25">
      <c r="B74" s="252"/>
      <c r="C74" s="519" t="s">
        <v>144</v>
      </c>
      <c r="D74" s="512"/>
      <c r="E74" s="512"/>
      <c r="F74" s="512"/>
      <c r="G74" s="512"/>
      <c r="H74" s="512"/>
      <c r="I74" s="83"/>
      <c r="J74" s="512" t="s">
        <v>132</v>
      </c>
      <c r="K74" s="512"/>
      <c r="L74" s="512"/>
      <c r="M74" s="512"/>
      <c r="N74" s="512"/>
      <c r="O74" s="83"/>
      <c r="P74" s="266"/>
      <c r="S74" s="220"/>
      <c r="T74" s="68">
        <v>9</v>
      </c>
      <c r="U74" s="253">
        <f t="shared" si="0"/>
        <v>1963.8172791575855</v>
      </c>
      <c r="W74" s="268"/>
      <c r="X74" s="220"/>
      <c r="Z74" s="258"/>
      <c r="AA74" s="258"/>
      <c r="AB74" s="258"/>
      <c r="AD74" s="62"/>
      <c r="AE74" s="264"/>
      <c r="AH74" s="53"/>
      <c r="AI74" s="53"/>
      <c r="AJ74" s="53"/>
      <c r="AK74" s="53"/>
      <c r="AL74" s="53"/>
      <c r="AM74" s="53"/>
      <c r="AN74" s="53"/>
      <c r="AO74" s="53"/>
    </row>
    <row r="75" spans="2:41" ht="18.75" customHeight="1" x14ac:dyDescent="0.25">
      <c r="B75" s="252"/>
      <c r="C75" s="143"/>
      <c r="D75" s="144"/>
      <c r="E75" s="144"/>
      <c r="F75" s="144"/>
      <c r="G75" s="144"/>
      <c r="H75" s="144"/>
      <c r="I75" s="83"/>
      <c r="O75" s="129"/>
      <c r="P75" s="195"/>
      <c r="S75" s="220"/>
      <c r="T75" s="68">
        <v>10</v>
      </c>
      <c r="U75" s="253">
        <f t="shared" si="0"/>
        <v>1963.8172791575855</v>
      </c>
      <c r="W75" s="268"/>
      <c r="X75" s="220" t="s">
        <v>17</v>
      </c>
      <c r="Z75" s="258">
        <f>Z71-Z72</f>
        <v>1200</v>
      </c>
      <c r="AA75" s="258">
        <f>AA71-AA72</f>
        <v>0</v>
      </c>
      <c r="AB75" s="258">
        <f>AB71-AB72</f>
        <v>1000</v>
      </c>
      <c r="AC75" s="37" t="s">
        <v>6</v>
      </c>
      <c r="AD75" s="62"/>
      <c r="AE75" s="264"/>
      <c r="AH75" s="53"/>
      <c r="AI75" s="53"/>
      <c r="AJ75" s="53"/>
      <c r="AK75" s="53"/>
      <c r="AL75" s="53"/>
      <c r="AM75" s="53"/>
      <c r="AN75" s="53"/>
      <c r="AO75" s="53"/>
    </row>
    <row r="76" spans="2:41" ht="20.100000000000001" customHeight="1" x14ac:dyDescent="0.25">
      <c r="B76" s="252"/>
      <c r="C76" s="137" t="s">
        <v>110</v>
      </c>
      <c r="D76" s="11"/>
      <c r="E76" s="495"/>
      <c r="F76" s="83" t="s">
        <v>106</v>
      </c>
      <c r="G76" s="10"/>
      <c r="H76" s="83"/>
      <c r="I76" s="83"/>
      <c r="J76" s="133" t="s">
        <v>15</v>
      </c>
      <c r="K76" s="69"/>
      <c r="L76" s="451">
        <v>2000</v>
      </c>
      <c r="M76" s="83" t="s">
        <v>109</v>
      </c>
      <c r="N76" s="83"/>
      <c r="O76" s="129"/>
      <c r="P76" s="195"/>
      <c r="S76" s="220"/>
      <c r="T76" s="68">
        <v>11</v>
      </c>
      <c r="U76" s="253" t="str">
        <f t="shared" si="0"/>
        <v/>
      </c>
      <c r="W76" s="268"/>
      <c r="X76" s="230" t="s">
        <v>26</v>
      </c>
      <c r="Z76" s="269">
        <f>+(E30*L31/100*Z72)/1000</f>
        <v>31.349999999999998</v>
      </c>
      <c r="AA76" s="269">
        <f>+(E46*L50/100*AA72)/1000</f>
        <v>0</v>
      </c>
      <c r="AB76" s="269">
        <f>+(E83*L81/100*AB72)/1000</f>
        <v>3.8975641025641021</v>
      </c>
      <c r="AC76" s="37" t="s">
        <v>32</v>
      </c>
      <c r="AD76" s="62"/>
      <c r="AE76" s="264"/>
      <c r="AH76" s="53"/>
      <c r="AI76" s="53"/>
      <c r="AJ76" s="53"/>
      <c r="AK76" s="53"/>
      <c r="AL76" s="53"/>
      <c r="AM76" s="53"/>
      <c r="AN76" s="53"/>
      <c r="AO76" s="53"/>
    </row>
    <row r="77" spans="2:41" ht="20.100000000000001" customHeight="1" x14ac:dyDescent="0.25">
      <c r="B77" s="252"/>
      <c r="C77" s="137" t="s">
        <v>111</v>
      </c>
      <c r="D77" s="11"/>
      <c r="E77" s="493"/>
      <c r="F77" s="83" t="s">
        <v>106</v>
      </c>
      <c r="G77" s="10"/>
      <c r="H77" s="83"/>
      <c r="I77" s="83"/>
      <c r="O77" s="83"/>
      <c r="P77" s="266"/>
      <c r="S77" s="220"/>
      <c r="T77" s="68">
        <v>12</v>
      </c>
      <c r="U77" s="253" t="str">
        <f t="shared" si="0"/>
        <v/>
      </c>
      <c r="W77" s="268"/>
      <c r="X77" s="230" t="s">
        <v>27</v>
      </c>
      <c r="Z77" s="269">
        <f>E30*Z75/1000</f>
        <v>62.699999999999996</v>
      </c>
      <c r="AA77" s="269">
        <f>E46*AA75/1000</f>
        <v>0</v>
      </c>
      <c r="AB77" s="269">
        <f>E83*AB75/1000</f>
        <v>7.7951282051282043</v>
      </c>
      <c r="AC77" s="37" t="s">
        <v>32</v>
      </c>
      <c r="AD77" s="62"/>
      <c r="AE77" s="264"/>
      <c r="AH77" s="53"/>
      <c r="AI77" s="53"/>
      <c r="AJ77" s="53"/>
      <c r="AK77" s="53"/>
      <c r="AL77" s="53"/>
      <c r="AM77" s="53"/>
      <c r="AN77" s="53"/>
      <c r="AO77" s="53"/>
    </row>
    <row r="78" spans="2:41" ht="20.100000000000001" customHeight="1" x14ac:dyDescent="0.25">
      <c r="B78" s="252"/>
      <c r="C78" s="137" t="s">
        <v>1857</v>
      </c>
      <c r="D78" s="69"/>
      <c r="E78" s="451"/>
      <c r="F78" s="83" t="s">
        <v>106</v>
      </c>
      <c r="G78" s="10"/>
      <c r="H78" s="83"/>
      <c r="I78" s="83"/>
      <c r="J78" s="56" t="s">
        <v>140</v>
      </c>
      <c r="K78" s="56"/>
      <c r="L78" s="56"/>
      <c r="M78" s="56"/>
      <c r="N78" s="56"/>
      <c r="P78" s="184"/>
      <c r="S78" s="220"/>
      <c r="T78" s="68">
        <v>13</v>
      </c>
      <c r="U78" s="253" t="str">
        <f t="shared" si="0"/>
        <v/>
      </c>
      <c r="W78" s="268"/>
      <c r="X78" s="220" t="s">
        <v>8</v>
      </c>
      <c r="Z78" s="270">
        <f>SUM(Z76:Z77)</f>
        <v>94.05</v>
      </c>
      <c r="AA78" s="270">
        <f>SUM(AA76:AA77)</f>
        <v>0</v>
      </c>
      <c r="AB78" s="270">
        <f>SUM(AB76:AB77)</f>
        <v>11.692692307692306</v>
      </c>
      <c r="AC78" s="37" t="s">
        <v>32</v>
      </c>
      <c r="AE78" s="96"/>
      <c r="AH78" s="53"/>
      <c r="AI78" s="53"/>
      <c r="AJ78" s="53"/>
      <c r="AK78" s="53"/>
      <c r="AL78" s="53"/>
      <c r="AM78" s="53"/>
      <c r="AN78" s="53"/>
      <c r="AO78" s="53"/>
    </row>
    <row r="79" spans="2:41" ht="20.100000000000001" customHeight="1" x14ac:dyDescent="0.25">
      <c r="B79" s="252"/>
      <c r="C79" s="35" t="s">
        <v>107</v>
      </c>
      <c r="D79" s="69"/>
      <c r="E79" s="146">
        <f>IF(E78&gt;0,3.1416*E78*E78/4,E76*E77)/1000000</f>
        <v>0</v>
      </c>
      <c r="F79" s="142" t="s">
        <v>49</v>
      </c>
      <c r="G79" s="87"/>
      <c r="H79" s="83"/>
      <c r="I79" s="83"/>
      <c r="J79" s="44"/>
      <c r="N79" s="57" t="s">
        <v>1855</v>
      </c>
      <c r="P79" s="266"/>
      <c r="S79" s="220"/>
      <c r="T79" s="68">
        <v>14</v>
      </c>
      <c r="U79" s="253" t="str">
        <f t="shared" si="0"/>
        <v/>
      </c>
      <c r="W79" s="268"/>
      <c r="X79" s="271"/>
      <c r="Y79" s="272"/>
      <c r="Z79" s="273">
        <f>Z78*3.6</f>
        <v>338.58</v>
      </c>
      <c r="AA79" s="273">
        <f>AA78*3.6</f>
        <v>0</v>
      </c>
      <c r="AB79" s="273">
        <f>AB78*3.6</f>
        <v>42.093692307692301</v>
      </c>
      <c r="AC79" s="274" t="s">
        <v>41</v>
      </c>
      <c r="AD79" s="274"/>
      <c r="AE79" s="275"/>
      <c r="AH79" s="53"/>
      <c r="AI79" s="53"/>
      <c r="AJ79" s="53"/>
      <c r="AK79" s="53"/>
      <c r="AL79" s="53"/>
      <c r="AM79" s="53"/>
      <c r="AN79" s="53"/>
      <c r="AO79" s="53"/>
    </row>
    <row r="80" spans="2:41" ht="20.100000000000001" customHeight="1" x14ac:dyDescent="0.25">
      <c r="B80" s="252"/>
      <c r="C80" s="35" t="s">
        <v>112</v>
      </c>
      <c r="D80" s="69"/>
      <c r="E80" s="70">
        <f>E79*6*3600</f>
        <v>0</v>
      </c>
      <c r="F80" s="142" t="s">
        <v>1858</v>
      </c>
      <c r="G80" s="518" t="s">
        <v>149</v>
      </c>
      <c r="H80" s="518"/>
      <c r="I80" s="83"/>
      <c r="J80" s="10" t="s">
        <v>23</v>
      </c>
      <c r="K80" s="10"/>
      <c r="L80" s="491">
        <v>50</v>
      </c>
      <c r="M80" s="10" t="s">
        <v>22</v>
      </c>
      <c r="N80" s="112">
        <f>AB72</f>
        <v>1000</v>
      </c>
      <c r="O80" s="83"/>
      <c r="P80" s="266"/>
      <c r="S80" s="220"/>
      <c r="T80" s="68">
        <v>15</v>
      </c>
      <c r="U80" s="253" t="str">
        <f t="shared" si="0"/>
        <v/>
      </c>
      <c r="W80" s="268"/>
      <c r="AH80" s="53"/>
      <c r="AI80" s="53"/>
      <c r="AJ80" s="53"/>
      <c r="AK80" s="53"/>
      <c r="AL80" s="53"/>
      <c r="AM80" s="53"/>
      <c r="AN80" s="53"/>
      <c r="AO80" s="53"/>
    </row>
    <row r="81" spans="2:36" ht="20.100000000000001" customHeight="1" x14ac:dyDescent="0.25">
      <c r="B81" s="252"/>
      <c r="C81" s="111"/>
      <c r="G81" s="518"/>
      <c r="H81" s="518"/>
      <c r="I81" s="124"/>
      <c r="J81" s="10" t="s">
        <v>20</v>
      </c>
      <c r="K81" s="10"/>
      <c r="L81" s="489">
        <v>50</v>
      </c>
      <c r="M81" s="10" t="s">
        <v>21</v>
      </c>
      <c r="N81" s="67">
        <f>AB75</f>
        <v>1000</v>
      </c>
      <c r="O81" s="83"/>
      <c r="P81" s="266"/>
      <c r="S81" s="220"/>
      <c r="T81" s="68">
        <v>16</v>
      </c>
      <c r="U81" s="253" t="str">
        <f t="shared" si="0"/>
        <v/>
      </c>
    </row>
    <row r="82" spans="2:36" ht="18.75" customHeight="1" x14ac:dyDescent="0.25">
      <c r="B82" s="252"/>
      <c r="C82" s="110" t="s">
        <v>103</v>
      </c>
      <c r="D82" s="42"/>
      <c r="E82" s="42"/>
      <c r="F82" s="45"/>
      <c r="G82" s="135"/>
      <c r="H82" s="135"/>
      <c r="I82" s="125"/>
      <c r="P82" s="266"/>
      <c r="S82" s="220"/>
      <c r="T82" s="68">
        <v>17</v>
      </c>
      <c r="U82" s="253" t="str">
        <f t="shared" si="0"/>
        <v/>
      </c>
    </row>
    <row r="83" spans="2:36" ht="19.5" customHeight="1" thickBot="1" x14ac:dyDescent="0.3">
      <c r="B83" s="252"/>
      <c r="C83" s="139" t="s">
        <v>133</v>
      </c>
      <c r="D83" s="140"/>
      <c r="E83" s="141">
        <f>IF(E80&gt;0,E80,E71)*T39*T35*E69/(3600*0.65)</f>
        <v>7.7951282051282043</v>
      </c>
      <c r="F83" s="44" t="s">
        <v>4</v>
      </c>
      <c r="G83" s="71" t="s">
        <v>1817</v>
      </c>
      <c r="H83" s="136"/>
      <c r="I83" s="83"/>
      <c r="P83" s="266"/>
      <c r="S83" s="220"/>
      <c r="T83" s="68">
        <v>18</v>
      </c>
      <c r="U83" s="253" t="str">
        <f t="shared" si="0"/>
        <v/>
      </c>
    </row>
    <row r="84" spans="2:36" ht="20.100000000000001" customHeight="1" x14ac:dyDescent="0.25">
      <c r="B84" s="252"/>
      <c r="C84" s="107" t="s">
        <v>104</v>
      </c>
      <c r="D84" s="108"/>
      <c r="E84" s="109">
        <f>AB78</f>
        <v>11.692692307692306</v>
      </c>
      <c r="F84" s="43" t="s">
        <v>2</v>
      </c>
      <c r="G84" s="10"/>
      <c r="H84" s="83"/>
      <c r="I84" s="83"/>
      <c r="O84" s="83"/>
      <c r="P84" s="266"/>
      <c r="S84" s="220"/>
      <c r="T84" s="68">
        <v>19</v>
      </c>
      <c r="U84" s="253" t="str">
        <f t="shared" si="0"/>
        <v/>
      </c>
    </row>
    <row r="85" spans="2:36" ht="15" customHeight="1" thickBot="1" x14ac:dyDescent="0.3">
      <c r="B85" s="252"/>
      <c r="C85" s="205"/>
      <c r="D85" s="276"/>
      <c r="E85" s="276"/>
      <c r="F85" s="277"/>
      <c r="G85" s="276"/>
      <c r="H85" s="278"/>
      <c r="I85" s="278"/>
      <c r="J85" s="208"/>
      <c r="K85" s="278"/>
      <c r="L85" s="278"/>
      <c r="M85" s="278"/>
      <c r="N85" s="278"/>
      <c r="O85" s="278"/>
      <c r="P85" s="279"/>
      <c r="S85" s="220"/>
      <c r="T85" s="68">
        <v>20</v>
      </c>
      <c r="U85" s="253" t="str">
        <f t="shared" si="0"/>
        <v/>
      </c>
    </row>
    <row r="86" spans="2:36" ht="15" customHeight="1" x14ac:dyDescent="0.25">
      <c r="B86" s="252"/>
      <c r="D86" s="92"/>
      <c r="E86" s="92"/>
      <c r="F86" s="280"/>
      <c r="G86" s="92"/>
      <c r="H86" s="83"/>
      <c r="I86" s="83"/>
      <c r="J86" s="68"/>
      <c r="K86" s="83"/>
      <c r="L86" s="83"/>
      <c r="M86" s="83"/>
      <c r="N86" s="83"/>
      <c r="O86" s="83"/>
      <c r="P86" s="83"/>
      <c r="S86" s="220"/>
      <c r="T86" s="68">
        <v>21</v>
      </c>
      <c r="U86" s="253" t="str">
        <f t="shared" si="0"/>
        <v/>
      </c>
    </row>
    <row r="87" spans="2:36" ht="15" customHeight="1" x14ac:dyDescent="0.25">
      <c r="B87" s="252"/>
      <c r="C87" s="281" t="s">
        <v>1859</v>
      </c>
      <c r="P87" s="83"/>
      <c r="S87" s="220"/>
      <c r="T87" s="68">
        <v>22</v>
      </c>
      <c r="U87" s="253" t="str">
        <f t="shared" si="0"/>
        <v/>
      </c>
    </row>
    <row r="88" spans="2:36" ht="15" customHeight="1" x14ac:dyDescent="0.25">
      <c r="B88" s="252"/>
      <c r="C88" s="282"/>
      <c r="D88" s="92"/>
      <c r="E88" s="92"/>
      <c r="F88" s="92"/>
      <c r="G88" s="92"/>
      <c r="H88" s="83"/>
      <c r="I88" s="83"/>
      <c r="J88" s="68"/>
      <c r="K88" s="83"/>
      <c r="L88" s="83"/>
      <c r="M88" s="83"/>
      <c r="N88" s="83"/>
      <c r="O88" s="83"/>
      <c r="P88" s="83"/>
      <c r="S88" s="220"/>
      <c r="T88" s="68">
        <v>23</v>
      </c>
      <c r="U88" s="253" t="str">
        <f t="shared" si="0"/>
        <v/>
      </c>
    </row>
    <row r="89" spans="2:36" x14ac:dyDescent="0.25"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S89" s="220"/>
      <c r="T89" s="68">
        <v>24</v>
      </c>
      <c r="U89" s="253" t="str">
        <f t="shared" si="0"/>
        <v/>
      </c>
    </row>
    <row r="90" spans="2:36" ht="15" customHeight="1" x14ac:dyDescent="0.25">
      <c r="B90" s="252"/>
      <c r="C90" s="45"/>
      <c r="D90" s="92"/>
      <c r="E90" s="92"/>
      <c r="F90" s="92"/>
      <c r="G90" s="92"/>
      <c r="H90" s="83"/>
      <c r="I90" s="83"/>
      <c r="J90" s="68"/>
      <c r="K90" s="83"/>
      <c r="L90" s="83"/>
      <c r="M90" s="69"/>
      <c r="N90" s="83"/>
      <c r="O90" s="83"/>
      <c r="P90" s="83"/>
      <c r="S90" s="220"/>
      <c r="T90" s="68">
        <v>25</v>
      </c>
      <c r="U90" s="253" t="str">
        <f t="shared" si="0"/>
        <v/>
      </c>
    </row>
    <row r="91" spans="2:36" ht="75" x14ac:dyDescent="0.25">
      <c r="B91" s="252"/>
      <c r="C91" s="154" t="s">
        <v>1863</v>
      </c>
      <c r="D91" s="148"/>
      <c r="E91" s="148"/>
      <c r="F91" s="148"/>
      <c r="G91" s="148"/>
      <c r="H91" s="148"/>
      <c r="I91" s="148"/>
      <c r="J91" s="148"/>
      <c r="K91" s="148"/>
      <c r="L91" s="53"/>
      <c r="M91" s="81"/>
      <c r="N91" s="81"/>
      <c r="O91" s="81"/>
      <c r="P91" s="83"/>
      <c r="S91" s="220"/>
      <c r="T91" s="68">
        <v>26</v>
      </c>
      <c r="U91" s="253" t="str">
        <f t="shared" si="0"/>
        <v/>
      </c>
    </row>
    <row r="92" spans="2:36" ht="15" customHeight="1" x14ac:dyDescent="0.25">
      <c r="B92" s="252"/>
      <c r="D92" s="148"/>
      <c r="E92" s="148"/>
      <c r="F92" s="148"/>
      <c r="G92" s="148"/>
      <c r="H92" s="148"/>
      <c r="I92" s="148"/>
      <c r="J92" s="148"/>
      <c r="N92" s="81"/>
      <c r="O92" s="83"/>
      <c r="S92" s="283"/>
      <c r="T92" s="68">
        <v>27</v>
      </c>
      <c r="U92" s="253" t="str">
        <f t="shared" si="0"/>
        <v/>
      </c>
      <c r="Y92" s="284"/>
      <c r="AF92" s="15"/>
      <c r="AG92" s="15"/>
    </row>
    <row r="93" spans="2:36" ht="20.100000000000001" customHeight="1" thickBot="1" x14ac:dyDescent="0.3">
      <c r="B93" s="252"/>
      <c r="C93" s="53" t="s">
        <v>82</v>
      </c>
      <c r="D93" s="372"/>
      <c r="F93" s="148"/>
      <c r="G93" s="148"/>
      <c r="I93" s="151"/>
      <c r="J93" s="151"/>
      <c r="K93" s="151" t="s">
        <v>113</v>
      </c>
      <c r="L93" s="81"/>
      <c r="N93" s="45"/>
      <c r="O93" s="83"/>
      <c r="S93" s="220"/>
      <c r="T93" s="68">
        <v>28</v>
      </c>
      <c r="U93" s="253" t="str">
        <f t="shared" si="0"/>
        <v/>
      </c>
      <c r="AF93" s="89"/>
    </row>
    <row r="94" spans="2:36" ht="18.75" customHeight="1" thickBot="1" x14ac:dyDescent="0.3">
      <c r="B94" s="19"/>
      <c r="C94" s="370" t="str">
        <f>Abwärmequellen!E18</f>
        <v>Trockner</v>
      </c>
      <c r="D94" s="152"/>
      <c r="E94" s="152"/>
      <c r="F94" s="148"/>
      <c r="G94" s="148"/>
      <c r="H94" s="45"/>
      <c r="I94" s="45"/>
      <c r="J94" s="45"/>
      <c r="K94" s="497" t="s">
        <v>81</v>
      </c>
      <c r="L94" s="91" t="s">
        <v>172</v>
      </c>
      <c r="M94" s="152"/>
      <c r="N94" s="152"/>
      <c r="O94" s="83"/>
      <c r="S94" s="220"/>
      <c r="T94" s="68">
        <v>29</v>
      </c>
      <c r="U94" s="253" t="str">
        <f t="shared" si="0"/>
        <v/>
      </c>
      <c r="V94" s="285"/>
      <c r="W94" s="285"/>
    </row>
    <row r="95" spans="2:36" ht="20.100000000000001" customHeight="1" x14ac:dyDescent="0.25">
      <c r="B95" s="513" t="s">
        <v>170</v>
      </c>
      <c r="C95" s="56" t="s">
        <v>146</v>
      </c>
      <c r="D95" s="158"/>
      <c r="E95" s="158"/>
      <c r="F95" s="93"/>
      <c r="G95" s="64"/>
      <c r="I95" s="40"/>
      <c r="J95" s="515" t="s">
        <v>171</v>
      </c>
      <c r="M95" s="81"/>
      <c r="N95" s="152"/>
      <c r="O95" s="83"/>
      <c r="S95" s="220"/>
      <c r="T95" s="68">
        <v>30</v>
      </c>
      <c r="U95" s="253" t="str">
        <f t="shared" si="0"/>
        <v/>
      </c>
      <c r="V95" s="285"/>
      <c r="W95" s="285"/>
    </row>
    <row r="96" spans="2:36" ht="30.75" customHeight="1" x14ac:dyDescent="0.25">
      <c r="B96" s="513"/>
      <c r="C96" s="499" t="s">
        <v>135</v>
      </c>
      <c r="D96" s="499"/>
      <c r="E96" s="499"/>
      <c r="F96" s="499"/>
      <c r="G96" s="373"/>
      <c r="H96" s="40"/>
      <c r="I96" s="40"/>
      <c r="J96" s="515"/>
      <c r="N96" s="152"/>
      <c r="O96" s="83"/>
      <c r="S96" s="220"/>
      <c r="T96" s="68">
        <v>31</v>
      </c>
      <c r="U96" s="253" t="str">
        <f t="shared" si="0"/>
        <v/>
      </c>
      <c r="V96" s="285"/>
      <c r="W96" s="285"/>
      <c r="AC96" s="286"/>
      <c r="AD96" s="44"/>
      <c r="AE96" s="44"/>
      <c r="AG96" s="15"/>
      <c r="AH96" s="15"/>
      <c r="AI96" s="15"/>
      <c r="AJ96" s="89"/>
    </row>
    <row r="97" spans="2:36" ht="17.25" customHeight="1" x14ac:dyDescent="0.25">
      <c r="B97" s="513"/>
      <c r="G97" s="374"/>
      <c r="H97" s="374"/>
      <c r="I97" s="148"/>
      <c r="J97" s="515"/>
      <c r="N97" s="53"/>
      <c r="O97" s="83"/>
      <c r="S97" s="220"/>
      <c r="T97" s="68">
        <v>32</v>
      </c>
      <c r="U97" s="253" t="str">
        <f t="shared" si="0"/>
        <v/>
      </c>
      <c r="V97" s="285"/>
      <c r="W97" s="285"/>
      <c r="AC97" s="286"/>
      <c r="AD97" s="287"/>
      <c r="AE97" s="44"/>
    </row>
    <row r="98" spans="2:36" ht="20.100000000000001" customHeight="1" x14ac:dyDescent="0.25">
      <c r="B98" s="513"/>
      <c r="C98" s="53" t="s">
        <v>75</v>
      </c>
      <c r="D98" s="53"/>
      <c r="E98" s="371">
        <f>Abwärmequellen!E62</f>
        <v>218.20191990639839</v>
      </c>
      <c r="F98" s="10"/>
      <c r="G98" s="10"/>
      <c r="H98" s="10"/>
      <c r="I98" s="10"/>
      <c r="J98" s="515"/>
      <c r="K98" s="53" t="s">
        <v>75</v>
      </c>
      <c r="L98" s="53"/>
      <c r="M98" s="371">
        <f>Abwärmequellen!E62</f>
        <v>218.20191990639839</v>
      </c>
      <c r="N98" s="10"/>
      <c r="S98" s="220"/>
      <c r="T98" s="68">
        <v>33</v>
      </c>
      <c r="U98" s="253" t="str">
        <f t="shared" si="0"/>
        <v/>
      </c>
      <c r="V98" s="285"/>
      <c r="W98" s="285"/>
      <c r="AC98" s="5"/>
      <c r="AG98" s="288"/>
    </row>
    <row r="99" spans="2:36" ht="20.100000000000001" customHeight="1" x14ac:dyDescent="0.25">
      <c r="B99" s="513"/>
      <c r="C99" s="53" t="s">
        <v>1864</v>
      </c>
      <c r="D99" s="53"/>
      <c r="E99" s="496">
        <v>5</v>
      </c>
      <c r="F99" s="53" t="s">
        <v>1865</v>
      </c>
      <c r="G99" s="53"/>
      <c r="H99" s="10"/>
      <c r="I99" s="10"/>
      <c r="J99" s="515"/>
      <c r="K99" s="53" t="s">
        <v>74</v>
      </c>
      <c r="L99" s="10"/>
      <c r="M99" s="371">
        <f>IF(K94=X53,E31,IF(K94=X54,E51,IF(K94=X55,E62,IF(K94=X56,E84,""))))</f>
        <v>72</v>
      </c>
      <c r="N99" s="10"/>
      <c r="S99" s="220"/>
      <c r="T99" s="68">
        <v>34</v>
      </c>
      <c r="U99" s="253" t="str">
        <f t="shared" si="0"/>
        <v/>
      </c>
      <c r="V99" s="285"/>
      <c r="W99" s="285"/>
      <c r="AC99" s="5"/>
      <c r="AG99" s="288"/>
    </row>
    <row r="100" spans="2:36" ht="20.100000000000001" customHeight="1" x14ac:dyDescent="0.25">
      <c r="B100" s="513"/>
      <c r="C100" s="42" t="s">
        <v>103</v>
      </c>
      <c r="D100" s="138"/>
      <c r="E100" s="138"/>
      <c r="F100" s="53"/>
      <c r="G100" s="53"/>
      <c r="H100" s="10"/>
      <c r="I100" s="10"/>
      <c r="J100" s="515"/>
      <c r="K100" s="42" t="s">
        <v>103</v>
      </c>
      <c r="L100" s="161"/>
      <c r="M100" s="162"/>
      <c r="N100" s="10"/>
      <c r="S100" s="220"/>
      <c r="T100" s="68">
        <v>35</v>
      </c>
      <c r="U100" s="253" t="str">
        <f t="shared" si="0"/>
        <v/>
      </c>
      <c r="V100" s="285"/>
      <c r="W100" s="285"/>
      <c r="AC100" s="5"/>
      <c r="AG100" s="288"/>
    </row>
    <row r="101" spans="2:36" ht="20.100000000000001" customHeight="1" x14ac:dyDescent="0.25">
      <c r="B101" s="513"/>
      <c r="C101" s="79" t="s">
        <v>74</v>
      </c>
      <c r="D101" s="155"/>
      <c r="E101" s="147">
        <f>E98*E99/100</f>
        <v>10.910095995319919</v>
      </c>
      <c r="F101" s="43" t="s">
        <v>2</v>
      </c>
      <c r="G101" s="43"/>
      <c r="H101" s="53"/>
      <c r="I101" s="53"/>
      <c r="J101" s="515"/>
      <c r="K101" s="79" t="s">
        <v>76</v>
      </c>
      <c r="L101" s="80"/>
      <c r="M101" s="73">
        <f>IFERROR(M99/M98*100,0)</f>
        <v>32.996959894251013</v>
      </c>
      <c r="N101" s="43" t="s">
        <v>1</v>
      </c>
      <c r="S101" s="220"/>
      <c r="T101" s="68">
        <v>36</v>
      </c>
      <c r="U101" s="253" t="str">
        <f t="shared" si="0"/>
        <v/>
      </c>
      <c r="V101" s="285"/>
      <c r="W101" s="285"/>
      <c r="Z101" s="5"/>
      <c r="AA101" s="5"/>
      <c r="AB101" s="5"/>
      <c r="AG101" s="288"/>
    </row>
    <row r="102" spans="2:36" ht="15" customHeight="1" x14ac:dyDescent="0.25">
      <c r="B102" s="163"/>
      <c r="C102" s="62"/>
      <c r="D102" s="59"/>
      <c r="E102" s="59"/>
      <c r="F102" s="59"/>
      <c r="G102" s="59"/>
      <c r="H102" s="59"/>
      <c r="I102" s="59"/>
      <c r="J102" s="170"/>
      <c r="K102" s="59"/>
      <c r="L102" s="164"/>
      <c r="M102" s="59"/>
      <c r="N102" s="59"/>
      <c r="O102" s="59"/>
      <c r="S102" s="220"/>
      <c r="T102" s="68">
        <v>37</v>
      </c>
      <c r="U102" s="253" t="str">
        <f t="shared" si="0"/>
        <v/>
      </c>
      <c r="V102" s="285"/>
      <c r="W102" s="285"/>
      <c r="AC102" s="5"/>
      <c r="AD102" s="5"/>
      <c r="AG102" s="288"/>
      <c r="AJ102" s="288"/>
    </row>
    <row r="103" spans="2:36" ht="18.75" customHeight="1" x14ac:dyDescent="0.25"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S103" s="220"/>
      <c r="T103" s="68">
        <v>38</v>
      </c>
      <c r="U103" s="253" t="str">
        <f t="shared" si="0"/>
        <v/>
      </c>
      <c r="V103" s="285"/>
      <c r="W103" s="285"/>
      <c r="AC103" s="5"/>
      <c r="AD103" s="289"/>
      <c r="AE103" s="285"/>
      <c r="AF103" s="290"/>
      <c r="AG103" s="290"/>
      <c r="AJ103" s="288"/>
    </row>
    <row r="104" spans="2:36" ht="15" customHeight="1" x14ac:dyDescent="0.25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S104" s="220"/>
      <c r="T104" s="68">
        <v>39</v>
      </c>
      <c r="U104" s="253" t="str">
        <f t="shared" si="0"/>
        <v/>
      </c>
      <c r="V104" s="285"/>
      <c r="W104" s="285"/>
      <c r="AC104" s="5"/>
      <c r="AD104" s="291"/>
      <c r="AE104" s="285"/>
      <c r="AF104" s="15"/>
      <c r="AG104" s="15"/>
      <c r="AJ104" s="288"/>
    </row>
    <row r="105" spans="2:36" ht="38.25" customHeight="1" x14ac:dyDescent="0.25">
      <c r="B105" s="68"/>
      <c r="C105" s="507" t="str">
        <f>CONCATENATE("Mit einer maximal akzeptierten Amortisationszeit von ",Abwärmequellen!E72," Jahren kann maximal der folgende Betrag für die Erschließung des Abwärmepotenzials verwendet werden:")</f>
        <v>Mit einer maximal akzeptierten Amortisationszeit von 5 Jahren kann maximal der folgende Betrag für die Erschließung des Abwärmepotenzials verwendet werden:</v>
      </c>
      <c r="D105" s="507"/>
      <c r="E105" s="507"/>
      <c r="F105" s="507"/>
      <c r="G105" s="507"/>
      <c r="H105" s="507"/>
      <c r="I105" s="160"/>
      <c r="J105" s="68"/>
      <c r="K105" s="68"/>
      <c r="L105" s="68"/>
      <c r="M105" s="68"/>
      <c r="N105" s="68"/>
      <c r="O105" s="68"/>
      <c r="P105" s="68"/>
      <c r="S105" s="220"/>
      <c r="T105" s="68">
        <v>40</v>
      </c>
      <c r="U105" s="253" t="str">
        <f t="shared" si="0"/>
        <v/>
      </c>
      <c r="V105" s="285"/>
      <c r="W105" s="285"/>
      <c r="AC105" s="5"/>
      <c r="AD105" s="5"/>
      <c r="AF105" s="15"/>
      <c r="AG105" s="15"/>
      <c r="AJ105" s="288"/>
    </row>
    <row r="106" spans="2:36" x14ac:dyDescent="0.25">
      <c r="B106" s="68"/>
      <c r="C106" s="160"/>
      <c r="D106" s="160"/>
      <c r="E106" s="160"/>
      <c r="F106" s="160"/>
      <c r="G106" s="160"/>
      <c r="H106" s="160"/>
      <c r="I106" s="160"/>
      <c r="J106" s="68"/>
      <c r="K106" s="68"/>
      <c r="L106" s="68"/>
      <c r="M106" s="68"/>
      <c r="N106" s="68"/>
      <c r="O106" s="68"/>
      <c r="P106" s="68"/>
      <c r="S106" s="220"/>
      <c r="T106" s="68">
        <v>41</v>
      </c>
      <c r="U106" s="253" t="str">
        <f t="shared" si="0"/>
        <v/>
      </c>
      <c r="V106" s="285"/>
      <c r="W106" s="285"/>
      <c r="AC106" s="5"/>
      <c r="AD106" s="5"/>
      <c r="AF106" s="15"/>
      <c r="AG106" s="15"/>
      <c r="AJ106" s="288"/>
    </row>
    <row r="107" spans="2:36" ht="20.100000000000001" customHeight="1" x14ac:dyDescent="0.25">
      <c r="B107" s="68"/>
      <c r="C107" s="168" t="s">
        <v>103</v>
      </c>
      <c r="D107" s="165"/>
      <c r="E107" s="165"/>
      <c r="F107" s="68"/>
      <c r="G107" s="68"/>
      <c r="H107" s="68"/>
      <c r="I107" s="68"/>
      <c r="J107" s="68"/>
      <c r="K107" s="42" t="s">
        <v>103</v>
      </c>
      <c r="L107" s="165"/>
      <c r="M107" s="165"/>
      <c r="N107" s="68"/>
      <c r="S107" s="220"/>
      <c r="T107" s="68">
        <v>42</v>
      </c>
      <c r="U107" s="253" t="str">
        <f t="shared" si="0"/>
        <v/>
      </c>
      <c r="V107" s="285"/>
      <c r="W107" s="285"/>
      <c r="AC107" s="5"/>
      <c r="AD107" s="5"/>
      <c r="AF107" s="15"/>
      <c r="AG107" s="15"/>
      <c r="AJ107" s="288"/>
    </row>
    <row r="108" spans="2:36" ht="20.100000000000001" customHeight="1" x14ac:dyDescent="0.25">
      <c r="B108" s="252"/>
      <c r="C108" s="79" t="s">
        <v>1818</v>
      </c>
      <c r="D108" s="100"/>
      <c r="E108" s="156">
        <f>Abwärmequellen!E72*E101*Abwärmequellen!E77</f>
        <v>9819.0863957879283</v>
      </c>
      <c r="F108" s="157" t="s">
        <v>78</v>
      </c>
      <c r="G108" s="157"/>
      <c r="H108" s="172"/>
      <c r="I108" s="172"/>
      <c r="J108" s="83"/>
      <c r="K108" s="79" t="s">
        <v>1818</v>
      </c>
      <c r="L108" s="100"/>
      <c r="M108" s="156">
        <f>Abwärmequellen!E72*M99*Abwärmequellen!E77</f>
        <v>64800</v>
      </c>
      <c r="N108" s="157" t="s">
        <v>78</v>
      </c>
      <c r="S108" s="220"/>
      <c r="T108" s="68">
        <v>43</v>
      </c>
      <c r="U108" s="253" t="str">
        <f t="shared" si="0"/>
        <v/>
      </c>
      <c r="V108" s="285"/>
      <c r="W108" s="285"/>
      <c r="AC108" s="5"/>
      <c r="AD108" s="291"/>
      <c r="AF108" s="290"/>
      <c r="AG108" s="290"/>
      <c r="AJ108" s="292"/>
    </row>
    <row r="109" spans="2:36" ht="20.100000000000001" customHeight="1" x14ac:dyDescent="0.25">
      <c r="B109" s="252"/>
      <c r="C109" s="64" t="s">
        <v>61</v>
      </c>
      <c r="D109" s="64"/>
      <c r="E109" s="64"/>
      <c r="F109" s="68"/>
      <c r="G109" s="68"/>
      <c r="H109" s="173"/>
      <c r="I109" s="173"/>
      <c r="J109" s="83"/>
      <c r="K109" s="68" t="s">
        <v>61</v>
      </c>
      <c r="L109" s="68"/>
      <c r="M109" s="68"/>
      <c r="N109" s="68"/>
      <c r="S109" s="220"/>
      <c r="T109" s="68">
        <v>44</v>
      </c>
      <c r="U109" s="253" t="str">
        <f t="shared" si="0"/>
        <v/>
      </c>
      <c r="V109" s="285"/>
      <c r="W109" s="285"/>
      <c r="Z109" s="44"/>
      <c r="AA109" s="44"/>
      <c r="AB109" s="44"/>
      <c r="AC109" s="5"/>
      <c r="AD109" s="293"/>
      <c r="AE109" s="285"/>
      <c r="AF109" s="15"/>
      <c r="AG109" s="15"/>
      <c r="AJ109" s="15"/>
    </row>
    <row r="110" spans="2:36" ht="15" customHeight="1" x14ac:dyDescent="0.25">
      <c r="B110" s="252"/>
      <c r="C110" s="62"/>
      <c r="D110" s="62"/>
      <c r="E110" s="62"/>
      <c r="F110" s="169"/>
      <c r="G110" s="169"/>
      <c r="H110" s="172"/>
      <c r="I110" s="172"/>
      <c r="J110" s="83"/>
      <c r="S110" s="220"/>
      <c r="T110" s="68">
        <v>45</v>
      </c>
      <c r="U110" s="253" t="str">
        <f t="shared" si="0"/>
        <v/>
      </c>
      <c r="V110" s="285"/>
      <c r="W110" s="285"/>
      <c r="AC110" s="286"/>
      <c r="AD110" s="294"/>
      <c r="AF110" s="15"/>
      <c r="AG110" s="15"/>
      <c r="AJ110" s="288"/>
    </row>
    <row r="111" spans="2:36" ht="33.75" customHeight="1" x14ac:dyDescent="0.25">
      <c r="B111" s="252"/>
      <c r="C111" s="507" t="s">
        <v>1866</v>
      </c>
      <c r="D111" s="507"/>
      <c r="E111" s="507"/>
      <c r="F111" s="507"/>
      <c r="G111" s="507"/>
      <c r="H111" s="507"/>
      <c r="I111" s="170"/>
      <c r="J111" s="170"/>
      <c r="K111" s="83"/>
      <c r="L111" s="83"/>
      <c r="M111" s="83"/>
      <c r="N111" s="83"/>
      <c r="O111" s="83"/>
      <c r="P111" s="83"/>
      <c r="S111" s="220"/>
      <c r="T111" s="68">
        <v>46</v>
      </c>
      <c r="U111" s="253" t="str">
        <f t="shared" si="0"/>
        <v/>
      </c>
      <c r="AF111" s="15"/>
      <c r="AG111" s="15"/>
      <c r="AJ111" s="15"/>
    </row>
    <row r="112" spans="2:36" ht="15" customHeight="1" x14ac:dyDescent="0.25">
      <c r="B112" s="252"/>
      <c r="C112" s="54"/>
      <c r="D112" s="68"/>
      <c r="E112" s="68"/>
      <c r="F112" s="83"/>
      <c r="G112" s="83"/>
      <c r="H112" s="295"/>
      <c r="I112" s="295"/>
      <c r="J112" s="295"/>
      <c r="K112" s="83"/>
      <c r="L112" s="83"/>
      <c r="M112" s="83"/>
      <c r="N112" s="83"/>
      <c r="O112" s="83"/>
      <c r="P112" s="83"/>
      <c r="S112" s="230"/>
      <c r="T112" s="68">
        <v>47</v>
      </c>
      <c r="U112" s="253" t="str">
        <f t="shared" si="0"/>
        <v/>
      </c>
      <c r="V112" s="297"/>
      <c r="W112" s="44"/>
      <c r="AD112" s="285"/>
      <c r="AF112" s="298"/>
      <c r="AG112" s="298"/>
      <c r="AH112" s="15"/>
      <c r="AI112" s="15"/>
      <c r="AJ112" s="15"/>
    </row>
    <row r="113" spans="2:36" ht="45" customHeight="1" x14ac:dyDescent="0.25">
      <c r="B113" s="252"/>
      <c r="C113" s="512" t="s">
        <v>136</v>
      </c>
      <c r="D113" s="512"/>
      <c r="E113" s="512"/>
      <c r="F113" s="512"/>
      <c r="G113" s="83"/>
      <c r="H113" s="295"/>
      <c r="I113" s="295"/>
      <c r="J113" s="295"/>
      <c r="K113" s="83"/>
      <c r="L113" s="83"/>
      <c r="M113" s="83"/>
      <c r="N113" s="83"/>
      <c r="O113" s="83"/>
      <c r="P113" s="83"/>
      <c r="S113" s="220"/>
      <c r="T113" s="68">
        <v>48</v>
      </c>
      <c r="U113" s="253" t="str">
        <f t="shared" si="0"/>
        <v/>
      </c>
      <c r="Y113" s="15"/>
      <c r="Z113" s="15"/>
      <c r="AA113" s="15"/>
      <c r="AB113" s="15"/>
      <c r="AC113" s="15"/>
      <c r="AD113" s="288"/>
      <c r="AE113" s="15"/>
      <c r="AF113" s="15"/>
      <c r="AG113" s="15"/>
      <c r="AH113" s="15"/>
      <c r="AI113" s="15"/>
      <c r="AJ113" s="15"/>
    </row>
    <row r="114" spans="2:36" ht="15" customHeight="1" x14ac:dyDescent="0.25">
      <c r="B114" s="252"/>
      <c r="C114" s="54"/>
      <c r="D114" s="68"/>
      <c r="E114" s="68"/>
      <c r="F114" s="83"/>
      <c r="G114" s="83"/>
      <c r="H114" s="295"/>
      <c r="I114" s="295"/>
      <c r="J114" s="295"/>
      <c r="K114" s="83"/>
      <c r="L114" s="83"/>
      <c r="M114" s="83"/>
      <c r="N114" s="83"/>
      <c r="O114" s="83"/>
      <c r="P114" s="83"/>
      <c r="S114" s="220"/>
      <c r="T114" s="68">
        <v>49</v>
      </c>
      <c r="U114" s="253" t="str">
        <f t="shared" si="0"/>
        <v/>
      </c>
      <c r="Y114" s="15"/>
      <c r="Z114" s="15"/>
      <c r="AA114" s="15"/>
      <c r="AB114" s="15"/>
      <c r="AC114" s="15"/>
      <c r="AD114" s="288"/>
      <c r="AE114" s="15"/>
      <c r="AF114" s="15"/>
      <c r="AG114" s="15"/>
      <c r="AH114" s="15"/>
      <c r="AI114" s="15"/>
      <c r="AJ114" s="15"/>
    </row>
    <row r="115" spans="2:36" ht="20.100000000000001" customHeight="1" x14ac:dyDescent="0.25">
      <c r="B115" s="252"/>
      <c r="C115" s="53" t="s">
        <v>147</v>
      </c>
      <c r="F115" s="452">
        <v>15000</v>
      </c>
      <c r="G115" s="37" t="s">
        <v>84</v>
      </c>
      <c r="H115" s="92"/>
      <c r="I115" s="295"/>
      <c r="J115" s="295"/>
      <c r="K115" s="83"/>
      <c r="L115" s="83"/>
      <c r="M115" s="83"/>
      <c r="N115" s="83"/>
      <c r="O115" s="83"/>
      <c r="P115" s="83"/>
      <c r="S115" s="220"/>
      <c r="T115" s="68">
        <v>50</v>
      </c>
      <c r="U115" s="253" t="str">
        <f t="shared" si="0"/>
        <v/>
      </c>
      <c r="Z115" s="15"/>
      <c r="AA115" s="15"/>
      <c r="AB115" s="15"/>
      <c r="AC115" s="15"/>
      <c r="AD115" s="288"/>
      <c r="AE115" s="15"/>
      <c r="AF115" s="15"/>
      <c r="AG115" s="15"/>
      <c r="AH115" s="298"/>
      <c r="AI115" s="298"/>
      <c r="AJ115" s="15"/>
    </row>
    <row r="116" spans="2:36" ht="20.100000000000001" customHeight="1" x14ac:dyDescent="0.25">
      <c r="B116" s="252"/>
      <c r="C116" s="42" t="s">
        <v>103</v>
      </c>
      <c r="D116" s="165"/>
      <c r="E116" s="165"/>
      <c r="F116" s="166"/>
      <c r="H116" s="92"/>
      <c r="I116" s="295"/>
      <c r="J116" s="295"/>
      <c r="K116" s="83"/>
      <c r="L116" s="83"/>
      <c r="M116" s="83"/>
      <c r="N116" s="83"/>
      <c r="O116" s="83"/>
      <c r="P116" s="83"/>
      <c r="S116" s="220"/>
      <c r="T116" s="68"/>
      <c r="U116" s="253"/>
      <c r="Z116" s="15"/>
      <c r="AA116" s="15"/>
      <c r="AB116" s="15"/>
      <c r="AC116" s="15"/>
      <c r="AD116" s="288"/>
      <c r="AE116" s="15"/>
      <c r="AF116" s="15"/>
      <c r="AG116" s="15"/>
      <c r="AH116" s="298"/>
      <c r="AI116" s="298"/>
      <c r="AJ116" s="15"/>
    </row>
    <row r="117" spans="2:36" ht="20.100000000000001" customHeight="1" x14ac:dyDescent="0.25">
      <c r="B117" s="252"/>
      <c r="C117" s="79" t="s">
        <v>95</v>
      </c>
      <c r="D117" s="100"/>
      <c r="E117" s="100"/>
      <c r="F117" s="101">
        <f>IFERROR(F115/(E101*Abwärmequellen!E77),0)</f>
        <v>7.6381851607062536</v>
      </c>
      <c r="G117" s="44" t="s">
        <v>0</v>
      </c>
      <c r="H117" s="9"/>
      <c r="I117" s="295"/>
      <c r="J117" s="295"/>
      <c r="K117" s="83"/>
      <c r="L117" s="83"/>
      <c r="M117" s="83"/>
      <c r="N117" s="83"/>
      <c r="O117" s="83"/>
      <c r="P117" s="83"/>
      <c r="S117" s="220"/>
      <c r="T117" s="68"/>
      <c r="U117" s="253"/>
      <c r="Z117" s="15"/>
      <c r="AA117" s="15"/>
      <c r="AB117" s="15"/>
      <c r="AC117" s="15"/>
      <c r="AD117" s="288"/>
      <c r="AE117" s="15"/>
      <c r="AF117" s="15"/>
      <c r="AG117" s="15"/>
      <c r="AH117" s="15"/>
      <c r="AI117" s="15"/>
      <c r="AJ117" s="15"/>
    </row>
    <row r="118" spans="2:36" ht="20.100000000000001" customHeight="1" x14ac:dyDescent="0.25">
      <c r="B118" s="252"/>
      <c r="D118" s="45"/>
      <c r="E118" s="45"/>
      <c r="H118" s="83"/>
      <c r="I118" s="295"/>
      <c r="J118" s="295"/>
      <c r="K118" s="83"/>
      <c r="L118" s="83"/>
      <c r="M118" s="83"/>
      <c r="N118" s="83"/>
      <c r="O118" s="83"/>
      <c r="P118" s="83"/>
      <c r="S118" s="220"/>
      <c r="T118" s="68"/>
      <c r="U118" s="253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2:36" ht="20.100000000000001" customHeight="1" x14ac:dyDescent="0.25">
      <c r="B119" s="252"/>
      <c r="C119" s="45" t="s">
        <v>148</v>
      </c>
      <c r="D119" s="45"/>
      <c r="E119" s="45"/>
      <c r="F119" s="463">
        <v>10</v>
      </c>
      <c r="G119" s="53" t="s">
        <v>0</v>
      </c>
      <c r="I119" s="295"/>
      <c r="J119" s="295"/>
      <c r="K119" s="83"/>
      <c r="L119" s="83"/>
      <c r="M119" s="83"/>
      <c r="N119" s="83"/>
      <c r="O119" s="83"/>
      <c r="P119" s="83"/>
      <c r="S119" s="299"/>
      <c r="T119" s="68"/>
      <c r="U119" s="253"/>
      <c r="V119" s="15"/>
      <c r="AC119" s="300"/>
      <c r="AD119" s="301"/>
      <c r="AE119" s="300"/>
      <c r="AH119" s="15"/>
      <c r="AI119" s="15"/>
      <c r="AJ119" s="15"/>
    </row>
    <row r="120" spans="2:36" ht="20.100000000000001" customHeight="1" x14ac:dyDescent="0.25">
      <c r="B120" s="252"/>
      <c r="C120" s="42" t="s">
        <v>103</v>
      </c>
      <c r="D120" s="138"/>
      <c r="E120" s="138"/>
      <c r="F120" s="167"/>
      <c r="G120" s="53"/>
      <c r="I120" s="295"/>
      <c r="J120" s="295"/>
      <c r="K120" s="83"/>
      <c r="L120" s="83"/>
      <c r="M120" s="83"/>
      <c r="N120" s="83"/>
      <c r="O120" s="83"/>
      <c r="P120" s="83"/>
      <c r="S120" s="299"/>
      <c r="T120" s="68"/>
      <c r="U120" s="253"/>
      <c r="V120" s="15"/>
      <c r="AC120" s="300"/>
      <c r="AD120" s="301"/>
      <c r="AE120" s="300"/>
      <c r="AH120" s="15"/>
      <c r="AI120" s="15"/>
      <c r="AJ120" s="15"/>
    </row>
    <row r="121" spans="2:36" ht="20.100000000000001" customHeight="1" x14ac:dyDescent="0.25">
      <c r="B121" s="252"/>
      <c r="C121" s="79" t="s">
        <v>1868</v>
      </c>
      <c r="D121" s="100"/>
      <c r="E121" s="100"/>
      <c r="F121" s="159">
        <f>IFERROR(U62,0)</f>
        <v>3.4132933481279659E-2</v>
      </c>
      <c r="G121" s="83" t="s">
        <v>96</v>
      </c>
      <c r="I121" s="302"/>
      <c r="J121" s="115"/>
      <c r="K121" s="83"/>
      <c r="L121" s="83"/>
      <c r="M121" s="83"/>
      <c r="N121" s="83"/>
      <c r="O121" s="83"/>
      <c r="P121" s="83"/>
      <c r="S121" s="220"/>
      <c r="T121" s="68"/>
      <c r="U121" s="253"/>
      <c r="W121" s="15"/>
      <c r="AH121" s="15"/>
      <c r="AI121" s="15"/>
      <c r="AJ121" s="15"/>
    </row>
    <row r="122" spans="2:36" ht="15" customHeight="1" x14ac:dyDescent="0.25">
      <c r="B122" s="68"/>
      <c r="C122" s="68"/>
      <c r="D122" s="68"/>
      <c r="E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S122" s="215"/>
      <c r="T122" s="54"/>
      <c r="U122" s="253"/>
      <c r="W122" s="15"/>
      <c r="AH122" s="15"/>
      <c r="AI122" s="15"/>
    </row>
    <row r="123" spans="2:36" ht="15" customHeight="1" x14ac:dyDescent="0.25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S123" s="222"/>
      <c r="T123" s="274"/>
      <c r="U123" s="275"/>
      <c r="W123" s="15"/>
    </row>
    <row r="124" spans="2:36" ht="15" customHeight="1" x14ac:dyDescent="0.25"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S124" s="298"/>
      <c r="U124" s="68"/>
      <c r="W124" s="15"/>
    </row>
    <row r="125" spans="2:36" ht="15" customHeight="1" x14ac:dyDescent="0.25"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S125" s="298"/>
      <c r="U125" s="15"/>
      <c r="W125" s="15"/>
    </row>
    <row r="126" spans="2:36" ht="15" customHeight="1" x14ac:dyDescent="0.25"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S126" s="298"/>
      <c r="U126" s="15"/>
      <c r="W126" s="15"/>
    </row>
    <row r="127" spans="2:36" ht="15" customHeight="1" x14ac:dyDescent="0.25"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S127" s="298"/>
      <c r="U127" s="15"/>
      <c r="W127" s="15"/>
    </row>
    <row r="128" spans="2:36" ht="15" customHeight="1" x14ac:dyDescent="0.25"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S128" s="298"/>
      <c r="U128" s="15"/>
      <c r="W128" s="15"/>
    </row>
    <row r="129" spans="3:16" ht="15" customHeight="1" x14ac:dyDescent="0.25"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</row>
    <row r="130" spans="3:16" ht="15" customHeight="1" x14ac:dyDescent="0.25"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</row>
    <row r="131" spans="3:16" ht="15" customHeight="1" x14ac:dyDescent="0.25"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</row>
    <row r="132" spans="3:16" ht="15" customHeight="1" x14ac:dyDescent="0.25"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</row>
    <row r="133" spans="3:16" ht="15" customHeight="1" x14ac:dyDescent="0.25"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</row>
    <row r="134" spans="3:16" ht="15" customHeight="1" x14ac:dyDescent="0.25"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3:16" ht="15" customHeight="1" x14ac:dyDescent="0.25"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</row>
    <row r="136" spans="3:16" ht="15" customHeight="1" x14ac:dyDescent="0.25"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</row>
    <row r="137" spans="3:16" ht="15" customHeight="1" x14ac:dyDescent="0.25"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</row>
    <row r="138" spans="3:16" ht="15" customHeight="1" x14ac:dyDescent="0.25"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</row>
    <row r="139" spans="3:16" ht="15" customHeight="1" x14ac:dyDescent="0.25"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</row>
    <row r="140" spans="3:16" ht="15" customHeight="1" x14ac:dyDescent="0.25"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</row>
    <row r="141" spans="3:16" ht="15" customHeight="1" x14ac:dyDescent="0.25"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</row>
    <row r="142" spans="3:16" ht="15" customHeight="1" x14ac:dyDescent="0.25"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</row>
    <row r="143" spans="3:16" x14ac:dyDescent="0.25"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3:16" x14ac:dyDescent="0.25"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</row>
    <row r="145" spans="3:62" x14ac:dyDescent="0.25"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</row>
    <row r="146" spans="3:62" ht="15" customHeight="1" x14ac:dyDescent="0.25"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303"/>
    </row>
    <row r="147" spans="3:62" ht="15" customHeight="1" x14ac:dyDescent="0.25"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</row>
    <row r="148" spans="3:62" ht="15" customHeight="1" x14ac:dyDescent="0.25"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</row>
    <row r="149" spans="3:62" ht="15" customHeight="1" x14ac:dyDescent="0.25"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</row>
    <row r="150" spans="3:62" ht="15" customHeight="1" x14ac:dyDescent="0.25"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</row>
    <row r="151" spans="3:62" ht="15" customHeight="1" x14ac:dyDescent="0.25"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</row>
    <row r="152" spans="3:62" ht="15" customHeight="1" x14ac:dyDescent="0.25"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</row>
    <row r="153" spans="3:62" ht="15" customHeight="1" x14ac:dyDescent="0.25"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</row>
    <row r="154" spans="3:62" ht="15" customHeight="1" x14ac:dyDescent="0.25"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</row>
    <row r="155" spans="3:62" ht="15" customHeight="1" x14ac:dyDescent="0.25"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3:62" ht="15" customHeight="1" x14ac:dyDescent="0.25"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</row>
    <row r="157" spans="3:62" s="171" customFormat="1" ht="15" customHeight="1" x14ac:dyDescent="0.25"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</row>
    <row r="158" spans="3:62" ht="15" customHeight="1" x14ac:dyDescent="0.25"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</row>
    <row r="159" spans="3:62" ht="15" customHeight="1" x14ac:dyDescent="0.25"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</row>
    <row r="160" spans="3:62" ht="15" customHeight="1" x14ac:dyDescent="0.25"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</row>
    <row r="161" spans="3:16" x14ac:dyDescent="0.25"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</row>
    <row r="162" spans="3:16" ht="30.75" customHeight="1" x14ac:dyDescent="0.25"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</row>
    <row r="163" spans="3:16" ht="15" customHeight="1" x14ac:dyDescent="0.25"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</row>
    <row r="164" spans="3:16" ht="15" customHeight="1" x14ac:dyDescent="0.25"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3:16" ht="15" customHeight="1" x14ac:dyDescent="0.25"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</row>
    <row r="166" spans="3:16" ht="15" customHeight="1" x14ac:dyDescent="0.25"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</row>
    <row r="167" spans="3:16" ht="15" customHeight="1" x14ac:dyDescent="0.25"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</row>
    <row r="168" spans="3:16" ht="15" customHeight="1" x14ac:dyDescent="0.25"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</row>
    <row r="169" spans="3:16" ht="15" customHeight="1" x14ac:dyDescent="0.25"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</row>
    <row r="170" spans="3:16" ht="15" customHeight="1" x14ac:dyDescent="0.25"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</row>
    <row r="171" spans="3:16" ht="15" customHeight="1" x14ac:dyDescent="0.25"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</row>
    <row r="172" spans="3:16" ht="15" customHeight="1" x14ac:dyDescent="0.25"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3:16" ht="15" customHeight="1" x14ac:dyDescent="0.25"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</row>
    <row r="174" spans="3:16" ht="15" customHeight="1" x14ac:dyDescent="0.25"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</row>
    <row r="175" spans="3:16" ht="15" customHeight="1" x14ac:dyDescent="0.25"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</row>
    <row r="176" spans="3:16" ht="15" customHeight="1" x14ac:dyDescent="0.25"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</row>
    <row r="177" spans="3:31" ht="15" customHeight="1" x14ac:dyDescent="0.25"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</row>
    <row r="178" spans="3:31" ht="15" customHeight="1" x14ac:dyDescent="0.25"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</row>
    <row r="179" spans="3:31" ht="15" customHeight="1" x14ac:dyDescent="0.25"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</row>
    <row r="180" spans="3:31" ht="15" customHeight="1" x14ac:dyDescent="0.25"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</row>
    <row r="181" spans="3:31" ht="15" customHeight="1" x14ac:dyDescent="0.25"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</row>
    <row r="182" spans="3:31" ht="31.5" customHeight="1" x14ac:dyDescent="0.25"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AD182" s="15"/>
      <c r="AE182" s="15"/>
    </row>
    <row r="183" spans="3:31" ht="15" customHeight="1" x14ac:dyDescent="0.25"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AE183" s="89"/>
    </row>
    <row r="184" spans="3:31" ht="15" customHeight="1" x14ac:dyDescent="0.25"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AE184" s="15"/>
    </row>
    <row r="185" spans="3:31" ht="15" customHeight="1" x14ac:dyDescent="0.25"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AE185" s="15"/>
    </row>
    <row r="186" spans="3:31" ht="15" customHeight="1" x14ac:dyDescent="0.25"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AE186" s="288"/>
    </row>
    <row r="187" spans="3:31" ht="15" customHeight="1" x14ac:dyDescent="0.25"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AE187" s="288"/>
    </row>
    <row r="188" spans="3:31" ht="15" customHeight="1" x14ac:dyDescent="0.25"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AE188" s="288"/>
    </row>
    <row r="189" spans="3:31" ht="15" customHeight="1" x14ac:dyDescent="0.25"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AE189" s="288"/>
    </row>
    <row r="190" spans="3:31" ht="15" customHeight="1" x14ac:dyDescent="0.25"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AE190" s="288"/>
    </row>
    <row r="191" spans="3:31" ht="15" customHeight="1" x14ac:dyDescent="0.25"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AE191" s="288"/>
    </row>
    <row r="192" spans="3:31" ht="15" customHeight="1" x14ac:dyDescent="0.25"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AE192" s="292"/>
    </row>
    <row r="193" spans="3:31" ht="15" customHeight="1" x14ac:dyDescent="0.25"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AE193" s="15"/>
    </row>
    <row r="194" spans="3:31" ht="15" customHeight="1" x14ac:dyDescent="0.25"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AE194" s="288"/>
    </row>
    <row r="195" spans="3:31" ht="15" customHeight="1" x14ac:dyDescent="0.25"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AE195" s="15"/>
    </row>
    <row r="196" spans="3:31" ht="15" customHeight="1" x14ac:dyDescent="0.25"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AE196" s="15"/>
    </row>
    <row r="197" spans="3:31" ht="15" customHeight="1" x14ac:dyDescent="0.25"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AE197" s="15"/>
    </row>
    <row r="198" spans="3:31" ht="15" customHeight="1" x14ac:dyDescent="0.25"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AE198" s="15"/>
    </row>
    <row r="199" spans="3:31" ht="15" customHeight="1" x14ac:dyDescent="0.25"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AE199" s="15"/>
    </row>
    <row r="200" spans="3:31" ht="15" customHeight="1" x14ac:dyDescent="0.25"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AE200" s="15"/>
    </row>
    <row r="201" spans="3:31" ht="15" customHeight="1" x14ac:dyDescent="0.25"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AE201" s="15"/>
    </row>
    <row r="202" spans="3:31" ht="15" customHeight="1" x14ac:dyDescent="0.25"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AE202" s="15"/>
    </row>
    <row r="203" spans="3:31" ht="15" customHeight="1" x14ac:dyDescent="0.25"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AE203" s="15"/>
    </row>
    <row r="204" spans="3:31" ht="15" customHeight="1" x14ac:dyDescent="0.25"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AE204" s="15"/>
    </row>
    <row r="205" spans="3:31" ht="15" customHeight="1" x14ac:dyDescent="0.25"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AE205" s="15"/>
    </row>
    <row r="206" spans="3:31" ht="15" customHeight="1" x14ac:dyDescent="0.25"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</row>
    <row r="207" spans="3:31" ht="15" customHeight="1" x14ac:dyDescent="0.25"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</row>
    <row r="208" spans="3:31" ht="15" customHeight="1" x14ac:dyDescent="0.25"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</row>
    <row r="209" spans="3:31" ht="15" customHeight="1" x14ac:dyDescent="0.25"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</row>
    <row r="210" spans="3:31" ht="15" customHeight="1" x14ac:dyDescent="0.25"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</row>
    <row r="211" spans="3:31" ht="15" customHeight="1" x14ac:dyDescent="0.25"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S211" s="304"/>
      <c r="T211" s="15"/>
      <c r="U211" s="15"/>
      <c r="V211" s="15"/>
      <c r="W211" s="15"/>
      <c r="AD211" s="15"/>
      <c r="AE211" s="15"/>
    </row>
    <row r="212" spans="3:31" ht="15" customHeight="1" x14ac:dyDescent="0.25"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W212" s="15"/>
      <c r="X212" s="14"/>
      <c r="Y212" s="14"/>
      <c r="Z212" s="14"/>
      <c r="AA212" s="14"/>
      <c r="AB212" s="14"/>
      <c r="AC212" s="14"/>
      <c r="AD212" s="15"/>
      <c r="AE212" s="15"/>
    </row>
    <row r="213" spans="3:31" ht="15" customHeight="1" x14ac:dyDescent="0.25">
      <c r="C213" s="171"/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V213" s="15"/>
      <c r="W213" s="15"/>
      <c r="X213" s="14"/>
      <c r="Y213" s="14"/>
      <c r="Z213" s="14"/>
      <c r="AA213" s="14"/>
      <c r="AB213" s="14"/>
      <c r="AC213" s="14"/>
      <c r="AD213" s="15"/>
      <c r="AE213" s="15"/>
    </row>
    <row r="214" spans="3:31" ht="15" customHeight="1" x14ac:dyDescent="0.25"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S214" s="15"/>
      <c r="T214" s="15"/>
      <c r="U214" s="14"/>
      <c r="V214" s="15"/>
      <c r="W214" s="15"/>
      <c r="X214" s="15"/>
      <c r="Y214" s="15"/>
      <c r="Z214" s="15"/>
      <c r="AA214" s="15"/>
      <c r="AB214" s="15"/>
      <c r="AC214" s="15"/>
    </row>
    <row r="215" spans="3:31" ht="15" customHeight="1" x14ac:dyDescent="0.25"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S215" s="15"/>
      <c r="T215" s="15"/>
      <c r="U215" s="15"/>
      <c r="V215" s="15"/>
      <c r="W215" s="15"/>
    </row>
    <row r="216" spans="3:31" ht="15" customHeight="1" x14ac:dyDescent="0.25"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T216" s="15"/>
      <c r="U216" s="15"/>
      <c r="AD216" s="15"/>
      <c r="AE216" s="15"/>
    </row>
    <row r="217" spans="3:31" ht="15" customHeight="1" x14ac:dyDescent="0.25"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X217" s="305"/>
      <c r="Y217" s="305"/>
      <c r="Z217" s="305"/>
      <c r="AA217" s="305"/>
      <c r="AB217" s="305"/>
      <c r="AC217" s="305"/>
      <c r="AD217" s="15"/>
      <c r="AE217" s="15"/>
    </row>
    <row r="218" spans="3:31" ht="15" customHeight="1" x14ac:dyDescent="0.25"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S218" s="306"/>
      <c r="T218" s="15"/>
      <c r="U218" s="305"/>
      <c r="V218" s="305"/>
      <c r="W218" s="305"/>
      <c r="X218" s="15"/>
      <c r="Y218" s="15"/>
      <c r="Z218" s="15"/>
      <c r="AA218" s="15"/>
      <c r="AB218" s="15"/>
      <c r="AC218" s="15"/>
      <c r="AD218" s="15"/>
      <c r="AE218" s="15"/>
    </row>
    <row r="219" spans="3:31" ht="15" customHeight="1" x14ac:dyDescent="0.25"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S219" s="306"/>
      <c r="T219" s="15"/>
      <c r="U219" s="305"/>
      <c r="V219" s="305"/>
      <c r="W219" s="305"/>
      <c r="X219" s="15"/>
      <c r="Y219" s="15"/>
      <c r="Z219" s="15"/>
      <c r="AA219" s="15"/>
      <c r="AB219" s="15"/>
      <c r="AC219" s="15"/>
      <c r="AD219" s="15"/>
      <c r="AE219" s="15"/>
    </row>
    <row r="220" spans="3:31" ht="15" customHeight="1" x14ac:dyDescent="0.25">
      <c r="C220" s="171"/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S220" s="15"/>
      <c r="T220" s="15"/>
      <c r="U220" s="307"/>
      <c r="V220" s="307"/>
      <c r="W220" s="307"/>
      <c r="X220" s="15"/>
      <c r="Y220" s="15"/>
      <c r="Z220" s="15"/>
      <c r="AA220" s="15"/>
      <c r="AB220" s="15"/>
      <c r="AC220" s="15"/>
      <c r="AD220" s="15"/>
      <c r="AE220" s="15"/>
    </row>
    <row r="221" spans="3:31" ht="15" customHeight="1" x14ac:dyDescent="0.25"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S221" s="15"/>
      <c r="T221" s="15"/>
      <c r="U221" s="307"/>
      <c r="V221" s="307"/>
      <c r="W221" s="307"/>
      <c r="X221" s="15"/>
      <c r="Y221" s="15"/>
      <c r="Z221" s="15"/>
      <c r="AA221" s="15"/>
      <c r="AB221" s="15"/>
      <c r="AC221" s="15"/>
      <c r="AD221" s="15"/>
      <c r="AE221" s="15"/>
    </row>
    <row r="222" spans="3:31" ht="15" customHeight="1" x14ac:dyDescent="0.25"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S222" s="15"/>
      <c r="T222" s="15"/>
      <c r="U222" s="307"/>
      <c r="V222" s="307"/>
      <c r="W222" s="307"/>
      <c r="X222" s="15"/>
      <c r="Y222" s="15"/>
      <c r="Z222" s="15"/>
      <c r="AA222" s="15"/>
      <c r="AB222" s="15"/>
      <c r="AC222" s="15"/>
      <c r="AD222" s="15"/>
      <c r="AE222" s="15"/>
    </row>
    <row r="223" spans="3:31" ht="15" customHeight="1" x14ac:dyDescent="0.25"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S223" s="15"/>
      <c r="T223" s="15"/>
      <c r="U223" s="307"/>
      <c r="V223" s="307"/>
      <c r="W223" s="307"/>
      <c r="X223" s="15"/>
      <c r="Y223" s="15"/>
      <c r="Z223" s="15"/>
      <c r="AA223" s="15"/>
      <c r="AB223" s="15"/>
      <c r="AC223" s="15"/>
      <c r="AD223" s="15"/>
      <c r="AE223" s="15"/>
    </row>
    <row r="224" spans="3:31" ht="15" customHeight="1" x14ac:dyDescent="0.25"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S224" s="15"/>
      <c r="T224" s="15"/>
      <c r="U224" s="307"/>
      <c r="V224" s="307"/>
      <c r="W224" s="307"/>
      <c r="X224" s="15"/>
      <c r="Y224" s="15"/>
      <c r="Z224" s="15"/>
      <c r="AA224" s="15"/>
      <c r="AB224" s="15"/>
      <c r="AC224" s="15"/>
      <c r="AD224" s="15"/>
      <c r="AE224" s="15"/>
    </row>
    <row r="225" spans="3:31" ht="15" customHeight="1" x14ac:dyDescent="0.25"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S225" s="15"/>
      <c r="T225" s="15"/>
      <c r="U225" s="307"/>
      <c r="V225" s="307"/>
      <c r="W225" s="307"/>
      <c r="X225" s="15"/>
      <c r="Y225" s="15"/>
      <c r="Z225" s="15"/>
      <c r="AA225" s="15"/>
      <c r="AB225" s="15"/>
      <c r="AC225" s="15"/>
      <c r="AD225" s="15"/>
      <c r="AE225" s="15"/>
    </row>
    <row r="226" spans="3:31" ht="15" customHeight="1" x14ac:dyDescent="0.25">
      <c r="C226" s="171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S226" s="15"/>
      <c r="T226" s="15"/>
      <c r="U226" s="307"/>
      <c r="V226" s="307"/>
      <c r="W226" s="307"/>
      <c r="X226" s="290"/>
      <c r="Y226" s="290"/>
      <c r="Z226" s="290"/>
      <c r="AA226" s="290"/>
      <c r="AB226" s="290"/>
      <c r="AC226" s="290"/>
      <c r="AD226" s="15"/>
      <c r="AE226" s="15"/>
    </row>
    <row r="227" spans="3:31" ht="15" customHeight="1" x14ac:dyDescent="0.25"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S227" s="15"/>
      <c r="T227" s="15"/>
      <c r="U227" s="307"/>
      <c r="V227" s="308"/>
      <c r="W227" s="307"/>
      <c r="X227" s="15"/>
      <c r="Y227" s="15"/>
      <c r="Z227" s="15"/>
      <c r="AA227" s="15"/>
      <c r="AB227" s="15"/>
      <c r="AC227" s="15"/>
      <c r="AD227" s="15"/>
      <c r="AE227" s="15"/>
    </row>
    <row r="228" spans="3:31" ht="15" customHeight="1" x14ac:dyDescent="0.25">
      <c r="C228" s="171"/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S228" s="15"/>
      <c r="T228" s="15"/>
      <c r="U228" s="307"/>
      <c r="V228" s="307"/>
      <c r="W228" s="307"/>
      <c r="X228" s="15"/>
      <c r="Y228" s="15"/>
      <c r="Z228" s="15"/>
      <c r="AA228" s="15"/>
      <c r="AB228" s="15"/>
      <c r="AC228" s="15"/>
      <c r="AD228" s="15"/>
      <c r="AE228" s="15"/>
    </row>
    <row r="229" spans="3:31" ht="15" customHeight="1" x14ac:dyDescent="0.25"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S229" s="15"/>
      <c r="T229" s="15"/>
      <c r="U229" s="307"/>
      <c r="V229" s="307"/>
      <c r="W229" s="307"/>
      <c r="X229" s="15"/>
      <c r="Y229" s="15"/>
      <c r="Z229" s="15"/>
      <c r="AA229" s="15"/>
      <c r="AB229" s="15"/>
      <c r="AC229" s="15"/>
      <c r="AD229" s="15"/>
      <c r="AE229" s="15"/>
    </row>
    <row r="230" spans="3:31" ht="15" customHeight="1" x14ac:dyDescent="0.25"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3:31" ht="15" customHeight="1" x14ac:dyDescent="0.25">
      <c r="C231" s="171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S231" s="304"/>
      <c r="T231" s="15"/>
      <c r="U231" s="15"/>
      <c r="V231" s="15"/>
      <c r="W231" s="15"/>
      <c r="X231" s="305"/>
      <c r="Y231" s="305"/>
      <c r="Z231" s="305"/>
      <c r="AA231" s="305"/>
      <c r="AB231" s="305"/>
      <c r="AC231" s="305"/>
      <c r="AD231" s="15"/>
      <c r="AE231" s="15"/>
    </row>
    <row r="232" spans="3:31" ht="15" customHeight="1" x14ac:dyDescent="0.25"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S232" s="309"/>
      <c r="T232" s="15"/>
      <c r="U232" s="305"/>
      <c r="V232" s="305"/>
      <c r="W232" s="305"/>
      <c r="X232" s="15"/>
      <c r="Y232" s="15"/>
      <c r="Z232" s="15"/>
      <c r="AA232" s="15"/>
      <c r="AB232" s="15"/>
      <c r="AC232" s="15"/>
      <c r="AD232" s="15"/>
      <c r="AE232" s="15"/>
    </row>
    <row r="233" spans="3:31" ht="15" customHeight="1" x14ac:dyDescent="0.25">
      <c r="C233" s="171"/>
      <c r="D233" s="171"/>
      <c r="E233" s="171"/>
      <c r="F233" s="171"/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  <c r="S233" s="306"/>
      <c r="T233" s="15"/>
      <c r="U233" s="305"/>
      <c r="V233" s="305"/>
      <c r="W233" s="305"/>
      <c r="X233" s="15"/>
      <c r="Y233" s="15"/>
      <c r="Z233" s="15"/>
      <c r="AA233" s="15"/>
      <c r="AB233" s="15"/>
      <c r="AC233" s="15"/>
      <c r="AD233" s="15"/>
      <c r="AE233" s="15"/>
    </row>
    <row r="234" spans="3:31" ht="15" customHeight="1" x14ac:dyDescent="0.25"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S234" s="15"/>
      <c r="T234" s="15"/>
      <c r="U234" s="310"/>
      <c r="V234" s="310"/>
      <c r="W234" s="310"/>
      <c r="X234" s="15"/>
      <c r="Y234" s="15"/>
      <c r="Z234" s="15"/>
      <c r="AA234" s="15"/>
      <c r="AB234" s="15"/>
      <c r="AC234" s="15"/>
      <c r="AD234" s="15"/>
      <c r="AE234" s="15"/>
    </row>
    <row r="235" spans="3:31" ht="15" customHeight="1" x14ac:dyDescent="0.25"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S235" s="15"/>
      <c r="T235" s="15"/>
      <c r="U235" s="310"/>
      <c r="V235" s="310"/>
      <c r="W235" s="310"/>
      <c r="X235" s="15"/>
      <c r="Y235" s="15"/>
      <c r="Z235" s="15"/>
      <c r="AA235" s="15"/>
      <c r="AB235" s="15"/>
      <c r="AC235" s="15"/>
      <c r="AD235" s="15"/>
      <c r="AE235" s="15"/>
    </row>
    <row r="236" spans="3:31" ht="15" customHeight="1" x14ac:dyDescent="0.25">
      <c r="C236" s="171"/>
      <c r="D236" s="171"/>
      <c r="E236" s="171"/>
      <c r="F236" s="171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S236" s="15"/>
      <c r="T236" s="15"/>
      <c r="U236" s="310"/>
      <c r="V236" s="310"/>
      <c r="W236" s="310"/>
      <c r="X236" s="307"/>
      <c r="Y236" s="307"/>
      <c r="Z236" s="307"/>
      <c r="AA236" s="307"/>
      <c r="AB236" s="307"/>
      <c r="AC236" s="307"/>
      <c r="AD236" s="15"/>
      <c r="AE236" s="15"/>
    </row>
    <row r="237" spans="3:31" ht="15" customHeight="1" x14ac:dyDescent="0.25"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S237" s="15"/>
      <c r="T237" s="15"/>
      <c r="U237" s="307"/>
      <c r="V237" s="307"/>
      <c r="W237" s="307"/>
      <c r="X237" s="15"/>
      <c r="Y237" s="15"/>
      <c r="Z237" s="15"/>
      <c r="AA237" s="15"/>
      <c r="AB237" s="15"/>
      <c r="AC237" s="15"/>
      <c r="AD237" s="15"/>
      <c r="AE237" s="15"/>
    </row>
    <row r="238" spans="3:31" ht="15" customHeight="1" x14ac:dyDescent="0.25">
      <c r="C238" s="171"/>
      <c r="D238" s="171"/>
      <c r="E238" s="171"/>
      <c r="F238" s="171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S238" s="15"/>
      <c r="T238" s="15"/>
      <c r="U238" s="307"/>
      <c r="V238" s="307"/>
      <c r="W238" s="307"/>
      <c r="X238" s="15"/>
      <c r="Y238" s="15"/>
      <c r="Z238" s="15"/>
      <c r="AA238" s="15"/>
      <c r="AB238" s="15"/>
      <c r="AC238" s="15"/>
      <c r="AD238" s="15"/>
      <c r="AE238" s="15"/>
    </row>
    <row r="239" spans="3:31" ht="15" customHeight="1" x14ac:dyDescent="0.25">
      <c r="C239" s="171"/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S239" s="15"/>
      <c r="T239" s="15"/>
      <c r="U239" s="307"/>
      <c r="V239" s="307"/>
      <c r="W239" s="307"/>
      <c r="X239" s="15"/>
      <c r="Y239" s="15"/>
      <c r="Z239" s="15"/>
      <c r="AA239" s="15"/>
      <c r="AB239" s="15"/>
      <c r="AC239" s="15"/>
      <c r="AD239" s="15"/>
      <c r="AE239" s="15"/>
    </row>
    <row r="240" spans="3:31" ht="15" customHeight="1" x14ac:dyDescent="0.25">
      <c r="C240" s="171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S240" s="15"/>
      <c r="T240" s="15"/>
      <c r="U240" s="288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3:31" ht="15" customHeight="1" x14ac:dyDescent="0.25">
      <c r="C241" s="171"/>
      <c r="D241" s="171"/>
      <c r="E241" s="171"/>
      <c r="F241" s="171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3:31" ht="15" customHeight="1" x14ac:dyDescent="0.25"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S242" s="15"/>
      <c r="T242" s="15"/>
      <c r="U242" s="311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3:31" ht="15" customHeight="1" x14ac:dyDescent="0.25"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3:31" ht="15" customHeight="1" x14ac:dyDescent="0.25"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3:31" ht="15" customHeight="1" x14ac:dyDescent="0.25"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R245" s="68"/>
      <c r="S245" s="312"/>
      <c r="T245" s="68"/>
      <c r="U245" s="68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3:31" ht="15" customHeight="1" x14ac:dyDescent="0.25">
      <c r="C246" s="171"/>
      <c r="D246" s="171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R246" s="68"/>
      <c r="S246" s="231"/>
      <c r="T246" s="20"/>
      <c r="U246" s="68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3:31" ht="15" customHeight="1" x14ac:dyDescent="0.25">
      <c r="C247" s="171"/>
      <c r="D247" s="171"/>
      <c r="E247" s="171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R247" s="68"/>
      <c r="S247" s="83"/>
      <c r="T247" s="68"/>
      <c r="U247" s="68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3:31" ht="15" customHeight="1" x14ac:dyDescent="0.25">
      <c r="C248" s="171"/>
      <c r="D248" s="171"/>
      <c r="E248" s="171"/>
      <c r="F248" s="171"/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  <c r="R248" s="68"/>
      <c r="S248" s="83"/>
      <c r="T248" s="231"/>
      <c r="U248" s="231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3:31" ht="15" customHeight="1" x14ac:dyDescent="0.25"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R249" s="68"/>
      <c r="S249" s="83"/>
      <c r="T249" s="68"/>
      <c r="U249" s="313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3:31" ht="15" customHeight="1" x14ac:dyDescent="0.25">
      <c r="C250" s="171"/>
      <c r="D250" s="171"/>
      <c r="E250" s="171"/>
      <c r="F250" s="171"/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  <c r="R250" s="68"/>
      <c r="S250" s="83"/>
      <c r="T250" s="68"/>
      <c r="U250" s="68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3:31" ht="15" customHeight="1" x14ac:dyDescent="0.25"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R251" s="68"/>
      <c r="S251" s="83"/>
      <c r="T251" s="68"/>
      <c r="U251" s="68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3:31" ht="15" customHeight="1" x14ac:dyDescent="0.25"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R252" s="68"/>
      <c r="S252" s="83"/>
      <c r="T252" s="68"/>
      <c r="U252" s="68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3:31" ht="15" customHeight="1" x14ac:dyDescent="0.25">
      <c r="C253" s="171"/>
      <c r="D253" s="171"/>
      <c r="E253" s="171"/>
      <c r="F253" s="171"/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  <c r="R253" s="68"/>
      <c r="S253" s="83"/>
      <c r="T253" s="68"/>
      <c r="U253" s="68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3:31" ht="15" customHeight="1" x14ac:dyDescent="0.25">
      <c r="C254" s="171"/>
      <c r="D254" s="171"/>
      <c r="E254" s="171"/>
      <c r="F254" s="171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R254" s="68"/>
      <c r="S254" s="68"/>
      <c r="T254" s="68"/>
      <c r="U254" s="68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3:31" ht="15" customHeight="1" x14ac:dyDescent="0.25">
      <c r="C255" s="171"/>
      <c r="D255" s="171"/>
      <c r="E255" s="171"/>
      <c r="F255" s="171"/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  <c r="R255" s="68"/>
      <c r="S255" s="68"/>
      <c r="T255" s="68"/>
      <c r="U255" s="68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3:31" ht="15" customHeight="1" x14ac:dyDescent="0.25">
      <c r="C256" s="171"/>
      <c r="D256" s="171"/>
      <c r="E256" s="171"/>
      <c r="F256" s="171"/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  <c r="R256" s="68"/>
      <c r="S256" s="314"/>
      <c r="T256" s="68"/>
      <c r="U256" s="83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3:31" ht="15" customHeight="1" x14ac:dyDescent="0.25">
      <c r="C257" s="171"/>
      <c r="D257" s="171"/>
      <c r="E257" s="171"/>
      <c r="F257" s="171"/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  <c r="R257" s="68"/>
      <c r="S257" s="68"/>
      <c r="T257" s="68"/>
      <c r="U257" s="68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3:31" ht="15" customHeight="1" x14ac:dyDescent="0.25"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R258" s="68"/>
      <c r="S258" s="68"/>
      <c r="T258" s="68"/>
      <c r="U258" s="68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3:31" ht="15" customHeight="1" x14ac:dyDescent="0.25">
      <c r="C259" s="171"/>
      <c r="D259" s="171"/>
      <c r="E259" s="171"/>
      <c r="F259" s="171"/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  <c r="R259" s="68"/>
      <c r="S259" s="68"/>
      <c r="T259" s="68"/>
      <c r="U259" s="68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3:31" ht="15" customHeight="1" x14ac:dyDescent="0.25"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R260" s="68"/>
      <c r="S260" s="68"/>
      <c r="T260" s="68"/>
      <c r="U260" s="68"/>
      <c r="V260" s="15"/>
      <c r="W260" s="15"/>
      <c r="X260" s="15"/>
      <c r="Y260" s="15"/>
      <c r="Z260" s="15"/>
      <c r="AA260" s="15"/>
      <c r="AB260" s="15"/>
      <c r="AC260" s="15"/>
    </row>
    <row r="261" spans="3:31" ht="15" customHeight="1" x14ac:dyDescent="0.25">
      <c r="C261" s="171"/>
      <c r="D261" s="171"/>
      <c r="E261" s="171"/>
      <c r="F261" s="171"/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  <c r="R261" s="68"/>
      <c r="S261" s="68"/>
      <c r="T261" s="68"/>
      <c r="U261" s="68"/>
      <c r="V261" s="15"/>
      <c r="W261" s="15"/>
    </row>
    <row r="262" spans="3:31" ht="15" customHeight="1" x14ac:dyDescent="0.25">
      <c r="C262" s="171"/>
      <c r="D262" s="171"/>
      <c r="E262" s="171"/>
      <c r="F262" s="171"/>
      <c r="G262" s="171"/>
      <c r="H262" s="171"/>
      <c r="I262" s="171"/>
      <c r="J262" s="171"/>
      <c r="K262" s="171"/>
      <c r="L262" s="171"/>
      <c r="M262" s="171"/>
      <c r="N262" s="171"/>
      <c r="O262" s="171"/>
      <c r="P262" s="171"/>
      <c r="R262" s="68"/>
      <c r="S262" s="68"/>
      <c r="T262" s="68"/>
      <c r="U262" s="68"/>
    </row>
    <row r="263" spans="3:31" ht="15" customHeight="1" x14ac:dyDescent="0.25">
      <c r="C263" s="171"/>
      <c r="D263" s="171"/>
      <c r="E263" s="171"/>
      <c r="F263" s="171"/>
      <c r="G263" s="171"/>
      <c r="H263" s="171"/>
      <c r="I263" s="171"/>
      <c r="J263" s="171"/>
      <c r="K263" s="171"/>
      <c r="L263" s="171"/>
      <c r="M263" s="171"/>
      <c r="N263" s="171"/>
      <c r="O263" s="171"/>
      <c r="P263" s="171"/>
    </row>
    <row r="264" spans="3:31" ht="15" customHeight="1" x14ac:dyDescent="0.25"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</row>
    <row r="265" spans="3:31" ht="15" customHeight="1" x14ac:dyDescent="0.25">
      <c r="C265" s="171"/>
      <c r="D265" s="171"/>
      <c r="E265" s="171"/>
      <c r="F265" s="171"/>
      <c r="G265" s="171"/>
      <c r="H265" s="171"/>
      <c r="I265" s="171"/>
      <c r="J265" s="171"/>
      <c r="K265" s="171"/>
      <c r="L265" s="171"/>
      <c r="M265" s="171"/>
      <c r="N265" s="171"/>
      <c r="O265" s="171"/>
      <c r="P265" s="171"/>
    </row>
    <row r="266" spans="3:31" ht="15" customHeight="1" x14ac:dyDescent="0.25">
      <c r="C266" s="171"/>
      <c r="D266" s="171"/>
      <c r="E266" s="171"/>
      <c r="F266" s="171"/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</row>
    <row r="267" spans="3:31" ht="15" customHeight="1" x14ac:dyDescent="0.25">
      <c r="C267" s="171"/>
      <c r="D267" s="171"/>
      <c r="E267" s="171"/>
      <c r="F267" s="171"/>
      <c r="G267" s="171"/>
      <c r="H267" s="171"/>
      <c r="I267" s="171"/>
      <c r="J267" s="171"/>
      <c r="K267" s="171"/>
      <c r="L267" s="171"/>
      <c r="M267" s="171"/>
      <c r="N267" s="171"/>
      <c r="O267" s="171"/>
      <c r="P267" s="171"/>
    </row>
    <row r="268" spans="3:31" ht="15" customHeight="1" x14ac:dyDescent="0.25">
      <c r="C268" s="171"/>
      <c r="D268" s="171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</row>
    <row r="269" spans="3:31" ht="15" customHeight="1" x14ac:dyDescent="0.25">
      <c r="C269" s="171"/>
      <c r="D269" s="171"/>
      <c r="E269" s="171"/>
      <c r="F269" s="171"/>
      <c r="G269" s="171"/>
      <c r="H269" s="171"/>
      <c r="I269" s="171"/>
      <c r="J269" s="171"/>
      <c r="K269" s="171"/>
      <c r="L269" s="171"/>
      <c r="M269" s="171"/>
      <c r="N269" s="171"/>
      <c r="O269" s="171"/>
      <c r="P269" s="171"/>
    </row>
    <row r="270" spans="3:31" ht="15" customHeight="1" x14ac:dyDescent="0.25">
      <c r="C270" s="171"/>
      <c r="D270" s="171"/>
      <c r="E270" s="171"/>
      <c r="F270" s="171"/>
      <c r="G270" s="171"/>
      <c r="H270" s="171"/>
      <c r="I270" s="171"/>
      <c r="J270" s="171"/>
      <c r="K270" s="171"/>
      <c r="L270" s="171"/>
      <c r="M270" s="171"/>
      <c r="N270" s="171"/>
      <c r="O270" s="171"/>
      <c r="P270" s="171"/>
    </row>
    <row r="271" spans="3:31" ht="15" customHeight="1" x14ac:dyDescent="0.25">
      <c r="C271" s="171"/>
      <c r="D271" s="171"/>
      <c r="E271" s="171"/>
      <c r="F271" s="171"/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</row>
    <row r="272" spans="3:31" ht="15" customHeight="1" x14ac:dyDescent="0.25">
      <c r="C272" s="171"/>
      <c r="D272" s="171"/>
      <c r="E272" s="171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</row>
    <row r="273" spans="3:16" ht="15" customHeight="1" x14ac:dyDescent="0.25"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</row>
    <row r="274" spans="3:16" ht="15" customHeight="1" x14ac:dyDescent="0.25">
      <c r="C274" s="171"/>
      <c r="D274" s="171"/>
      <c r="E274" s="171"/>
      <c r="F274" s="171"/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</row>
    <row r="275" spans="3:16" ht="15" customHeight="1" x14ac:dyDescent="0.25">
      <c r="C275" s="171"/>
      <c r="D275" s="171"/>
      <c r="E275" s="171"/>
      <c r="F275" s="171"/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</row>
    <row r="276" spans="3:16" ht="15" customHeight="1" x14ac:dyDescent="0.25">
      <c r="C276" s="171"/>
      <c r="D276" s="171"/>
      <c r="E276" s="171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</row>
    <row r="277" spans="3:16" ht="15" customHeight="1" x14ac:dyDescent="0.25">
      <c r="C277" s="171"/>
      <c r="D277" s="171"/>
      <c r="E277" s="171"/>
      <c r="F277" s="171"/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</row>
    <row r="278" spans="3:16" ht="15" customHeight="1" x14ac:dyDescent="0.25">
      <c r="C278" s="171"/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</row>
    <row r="279" spans="3:16" ht="15" customHeight="1" x14ac:dyDescent="0.25">
      <c r="C279" s="171"/>
      <c r="D279" s="171"/>
      <c r="E279" s="171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</row>
    <row r="280" spans="3:16" ht="15" customHeight="1" x14ac:dyDescent="0.25">
      <c r="C280" s="171"/>
      <c r="D280" s="171"/>
      <c r="E280" s="171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</row>
    <row r="281" spans="3:16" ht="15" customHeight="1" x14ac:dyDescent="0.25"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</row>
    <row r="282" spans="3:16" ht="15" customHeight="1" x14ac:dyDescent="0.25">
      <c r="C282" s="171"/>
      <c r="D282" s="171"/>
      <c r="E282" s="171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</row>
    <row r="283" spans="3:16" ht="15" customHeight="1" x14ac:dyDescent="0.25">
      <c r="C283" s="171"/>
      <c r="D283" s="171"/>
      <c r="E283" s="171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</row>
    <row r="284" spans="3:16" x14ac:dyDescent="0.25">
      <c r="C284" s="171"/>
      <c r="D284" s="171"/>
      <c r="E284" s="171"/>
      <c r="F284" s="171"/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</row>
    <row r="285" spans="3:16" x14ac:dyDescent="0.25">
      <c r="C285" s="171"/>
      <c r="D285" s="171"/>
      <c r="E285" s="171"/>
      <c r="F285" s="171"/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</row>
    <row r="286" spans="3:16" x14ac:dyDescent="0.25">
      <c r="C286" s="171"/>
      <c r="D286" s="171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</row>
    <row r="287" spans="3:16" x14ac:dyDescent="0.25">
      <c r="C287" s="171"/>
      <c r="D287" s="171"/>
      <c r="E287" s="171"/>
      <c r="F287" s="171"/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</row>
    <row r="288" spans="3:16" x14ac:dyDescent="0.25">
      <c r="C288" s="171"/>
      <c r="D288" s="171"/>
      <c r="E288" s="171"/>
      <c r="F288" s="171"/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</row>
    <row r="289" spans="3:16" x14ac:dyDescent="0.25">
      <c r="C289" s="171"/>
      <c r="D289" s="171"/>
      <c r="E289" s="171"/>
      <c r="F289" s="171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</row>
    <row r="290" spans="3:16" x14ac:dyDescent="0.25">
      <c r="C290" s="171"/>
      <c r="D290" s="171"/>
      <c r="E290" s="171"/>
      <c r="F290" s="171"/>
      <c r="G290" s="171"/>
      <c r="H290" s="171"/>
      <c r="I290" s="171"/>
      <c r="J290" s="171"/>
      <c r="K290" s="171"/>
      <c r="L290" s="171"/>
      <c r="M290" s="171"/>
      <c r="N290" s="171"/>
      <c r="O290" s="171"/>
      <c r="P290" s="171"/>
    </row>
    <row r="291" spans="3:16" x14ac:dyDescent="0.25"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</row>
    <row r="292" spans="3:16" x14ac:dyDescent="0.25">
      <c r="C292" s="171"/>
      <c r="D292" s="171"/>
      <c r="E292" s="171"/>
      <c r="F292" s="171"/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</row>
    <row r="293" spans="3:16" x14ac:dyDescent="0.25">
      <c r="C293" s="171"/>
      <c r="D293" s="171"/>
      <c r="E293" s="171"/>
      <c r="F293" s="171"/>
      <c r="G293" s="171"/>
      <c r="H293" s="171"/>
      <c r="I293" s="171"/>
      <c r="J293" s="171"/>
      <c r="K293" s="171"/>
      <c r="L293" s="171"/>
      <c r="M293" s="171"/>
      <c r="N293" s="171"/>
      <c r="O293" s="171"/>
      <c r="P293" s="171"/>
    </row>
    <row r="294" spans="3:16" x14ac:dyDescent="0.25">
      <c r="C294" s="171"/>
      <c r="D294" s="171"/>
      <c r="E294" s="171"/>
      <c r="F294" s="171"/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</row>
    <row r="295" spans="3:16" x14ac:dyDescent="0.25">
      <c r="C295" s="171"/>
      <c r="D295" s="171"/>
      <c r="E295" s="171"/>
      <c r="F295" s="171"/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</row>
    <row r="296" spans="3:16" x14ac:dyDescent="0.25">
      <c r="C296" s="171"/>
      <c r="D296" s="171"/>
      <c r="E296" s="171"/>
      <c r="F296" s="171"/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</row>
    <row r="297" spans="3:16" x14ac:dyDescent="0.25">
      <c r="C297" s="171"/>
      <c r="D297" s="171"/>
      <c r="E297" s="171"/>
      <c r="F297" s="171"/>
      <c r="G297" s="171"/>
      <c r="H297" s="171"/>
      <c r="I297" s="171"/>
      <c r="J297" s="171"/>
      <c r="K297" s="171"/>
      <c r="L297" s="171"/>
      <c r="M297" s="171"/>
      <c r="N297" s="171"/>
      <c r="O297" s="171"/>
      <c r="P297" s="171"/>
    </row>
    <row r="298" spans="3:16" x14ac:dyDescent="0.25"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</row>
    <row r="299" spans="3:16" x14ac:dyDescent="0.25">
      <c r="C299" s="171"/>
      <c r="D299" s="171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</row>
    <row r="300" spans="3:16" x14ac:dyDescent="0.25">
      <c r="C300" s="171"/>
      <c r="D300" s="171"/>
      <c r="E300" s="171"/>
      <c r="F300" s="171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</row>
    <row r="301" spans="3:16" x14ac:dyDescent="0.25">
      <c r="C301" s="171"/>
      <c r="D301" s="171"/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</row>
    <row r="302" spans="3:16" x14ac:dyDescent="0.25"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</row>
    <row r="303" spans="3:16" x14ac:dyDescent="0.25">
      <c r="C303" s="171"/>
      <c r="D303" s="171"/>
      <c r="E303" s="171"/>
      <c r="F303" s="171"/>
      <c r="G303" s="171"/>
      <c r="H303" s="171"/>
      <c r="I303" s="171"/>
      <c r="J303" s="171"/>
      <c r="K303" s="171"/>
      <c r="L303" s="171"/>
      <c r="M303" s="171"/>
      <c r="N303" s="171"/>
      <c r="O303" s="171"/>
      <c r="P303" s="171"/>
    </row>
    <row r="304" spans="3:16" x14ac:dyDescent="0.25">
      <c r="C304" s="171"/>
      <c r="D304" s="171"/>
      <c r="E304" s="171"/>
      <c r="F304" s="171"/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</row>
    <row r="305" spans="3:16" x14ac:dyDescent="0.25">
      <c r="C305" s="171"/>
      <c r="D305" s="171"/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</row>
    <row r="306" spans="3:16" x14ac:dyDescent="0.25">
      <c r="C306" s="171"/>
      <c r="D306" s="171"/>
      <c r="E306" s="171"/>
      <c r="F306" s="171"/>
      <c r="G306" s="171"/>
      <c r="H306" s="171"/>
      <c r="I306" s="171"/>
      <c r="J306" s="171"/>
      <c r="K306" s="171"/>
      <c r="L306" s="171"/>
      <c r="M306" s="171"/>
      <c r="N306" s="171"/>
      <c r="O306" s="171"/>
      <c r="P306" s="171"/>
    </row>
    <row r="307" spans="3:16" x14ac:dyDescent="0.25">
      <c r="C307" s="171"/>
      <c r="D307" s="171"/>
      <c r="E307" s="171"/>
      <c r="F307" s="171"/>
      <c r="G307" s="171"/>
      <c r="H307" s="171"/>
      <c r="I307" s="171"/>
      <c r="J307" s="171"/>
      <c r="K307" s="171"/>
      <c r="L307" s="171"/>
      <c r="M307" s="171"/>
      <c r="N307" s="171"/>
      <c r="O307" s="171"/>
      <c r="P307" s="171"/>
    </row>
    <row r="308" spans="3:16" x14ac:dyDescent="0.25">
      <c r="C308" s="171"/>
      <c r="D308" s="171"/>
      <c r="E308" s="171"/>
      <c r="F308" s="171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</row>
    <row r="309" spans="3:16" x14ac:dyDescent="0.25">
      <c r="C309" s="171"/>
      <c r="D309" s="171"/>
      <c r="E309" s="171"/>
      <c r="F309" s="171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</row>
    <row r="310" spans="3:16" x14ac:dyDescent="0.25">
      <c r="C310" s="171"/>
      <c r="D310" s="171"/>
      <c r="E310" s="171"/>
      <c r="F310" s="171"/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</row>
    <row r="311" spans="3:16" x14ac:dyDescent="0.25">
      <c r="C311" s="171"/>
      <c r="D311" s="171"/>
      <c r="E311" s="171"/>
      <c r="F311" s="171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</row>
    <row r="312" spans="3:16" x14ac:dyDescent="0.25">
      <c r="C312" s="171"/>
      <c r="D312" s="171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</row>
    <row r="313" spans="3:16" x14ac:dyDescent="0.25">
      <c r="C313" s="171"/>
      <c r="D313" s="171"/>
      <c r="E313" s="171"/>
      <c r="F313" s="171"/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</row>
    <row r="314" spans="3:16" x14ac:dyDescent="0.25">
      <c r="C314" s="171"/>
      <c r="D314" s="171"/>
      <c r="E314" s="171"/>
      <c r="F314" s="171"/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</row>
    <row r="315" spans="3:16" x14ac:dyDescent="0.25">
      <c r="C315" s="171"/>
      <c r="D315" s="171"/>
      <c r="E315" s="171"/>
      <c r="F315" s="171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</row>
    <row r="316" spans="3:16" x14ac:dyDescent="0.25">
      <c r="C316" s="171"/>
      <c r="D316" s="171"/>
      <c r="E316" s="171"/>
      <c r="F316" s="171"/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</row>
    <row r="317" spans="3:16" x14ac:dyDescent="0.25">
      <c r="C317" s="171"/>
      <c r="D317" s="171"/>
      <c r="E317" s="171"/>
      <c r="F317" s="171"/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</row>
    <row r="318" spans="3:16" x14ac:dyDescent="0.25">
      <c r="C318" s="171"/>
      <c r="D318" s="171"/>
      <c r="E318" s="171"/>
      <c r="F318" s="171"/>
      <c r="G318" s="171"/>
      <c r="H318" s="171"/>
      <c r="I318" s="171"/>
      <c r="J318" s="171"/>
      <c r="K318" s="171"/>
      <c r="L318" s="171"/>
      <c r="M318" s="171"/>
      <c r="N318" s="171"/>
      <c r="O318" s="171"/>
      <c r="P318" s="171"/>
    </row>
    <row r="319" spans="3:16" x14ac:dyDescent="0.25">
      <c r="C319" s="171"/>
      <c r="D319" s="171"/>
      <c r="E319" s="171"/>
      <c r="F319" s="171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</row>
    <row r="320" spans="3:16" x14ac:dyDescent="0.25">
      <c r="C320" s="171"/>
      <c r="D320" s="171"/>
      <c r="E320" s="171"/>
      <c r="F320" s="171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</row>
    <row r="321" spans="3:16" x14ac:dyDescent="0.25">
      <c r="C321" s="171"/>
      <c r="D321" s="171"/>
      <c r="E321" s="171"/>
      <c r="F321" s="171"/>
      <c r="G321" s="171"/>
      <c r="H321" s="171"/>
      <c r="I321" s="171"/>
      <c r="J321" s="171"/>
      <c r="K321" s="171"/>
      <c r="L321" s="171"/>
      <c r="M321" s="171"/>
      <c r="N321" s="171"/>
      <c r="O321" s="171"/>
      <c r="P321" s="171"/>
    </row>
    <row r="322" spans="3:16" x14ac:dyDescent="0.25">
      <c r="C322" s="171"/>
      <c r="D322" s="171"/>
      <c r="E322" s="171"/>
      <c r="F322" s="171"/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</row>
    <row r="323" spans="3:16" x14ac:dyDescent="0.25"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</row>
    <row r="324" spans="3:16" x14ac:dyDescent="0.25">
      <c r="C324" s="171"/>
      <c r="D324" s="171"/>
      <c r="E324" s="171"/>
      <c r="F324" s="171"/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</row>
    <row r="325" spans="3:16" x14ac:dyDescent="0.25">
      <c r="C325" s="171"/>
      <c r="D325" s="171"/>
      <c r="E325" s="171"/>
      <c r="F325" s="171"/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</row>
    <row r="326" spans="3:16" x14ac:dyDescent="0.25">
      <c r="C326" s="171"/>
      <c r="D326" s="171"/>
      <c r="E326" s="171"/>
      <c r="F326" s="171"/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</row>
    <row r="327" spans="3:16" x14ac:dyDescent="0.25">
      <c r="C327" s="171"/>
      <c r="D327" s="171"/>
      <c r="E327" s="171"/>
      <c r="F327" s="171"/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</row>
    <row r="328" spans="3:16" x14ac:dyDescent="0.25">
      <c r="C328" s="171"/>
      <c r="D328" s="171"/>
      <c r="E328" s="171"/>
      <c r="F328" s="171"/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</row>
    <row r="329" spans="3:16" x14ac:dyDescent="0.25">
      <c r="C329" s="171"/>
      <c r="D329" s="171"/>
      <c r="E329" s="171"/>
      <c r="F329" s="171"/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</row>
    <row r="330" spans="3:16" x14ac:dyDescent="0.25">
      <c r="C330" s="171"/>
      <c r="D330" s="171"/>
      <c r="E330" s="171"/>
      <c r="F330" s="171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</row>
    <row r="331" spans="3:16" x14ac:dyDescent="0.25">
      <c r="C331" s="171"/>
      <c r="D331" s="171"/>
      <c r="E331" s="171"/>
      <c r="F331" s="171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</row>
    <row r="332" spans="3:16" x14ac:dyDescent="0.25">
      <c r="C332" s="171"/>
      <c r="D332" s="171"/>
      <c r="E332" s="171"/>
      <c r="F332" s="171"/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</row>
    <row r="333" spans="3:16" x14ac:dyDescent="0.25"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</row>
    <row r="334" spans="3:16" x14ac:dyDescent="0.25">
      <c r="C334" s="171"/>
      <c r="D334" s="171"/>
      <c r="E334" s="171"/>
      <c r="F334" s="171"/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</row>
    <row r="335" spans="3:16" x14ac:dyDescent="0.25">
      <c r="C335" s="171"/>
      <c r="D335" s="171"/>
      <c r="E335" s="171"/>
      <c r="F335" s="171"/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</row>
    <row r="336" spans="3:16" x14ac:dyDescent="0.25">
      <c r="C336" s="171"/>
      <c r="D336" s="171"/>
      <c r="E336" s="171"/>
      <c r="F336" s="171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</row>
    <row r="337" spans="3:16" x14ac:dyDescent="0.25">
      <c r="C337" s="171"/>
      <c r="D337" s="171"/>
      <c r="E337" s="171"/>
      <c r="F337" s="171"/>
      <c r="G337" s="171"/>
      <c r="H337" s="171"/>
      <c r="I337" s="171"/>
      <c r="J337" s="171"/>
      <c r="K337" s="171"/>
      <c r="L337" s="171"/>
      <c r="M337" s="171"/>
      <c r="N337" s="171"/>
      <c r="O337" s="171"/>
      <c r="P337" s="171"/>
    </row>
    <row r="338" spans="3:16" x14ac:dyDescent="0.25">
      <c r="C338" s="171"/>
      <c r="D338" s="171"/>
      <c r="E338" s="171"/>
      <c r="F338" s="171"/>
      <c r="G338" s="171"/>
      <c r="H338" s="171"/>
      <c r="I338" s="171"/>
      <c r="J338" s="171"/>
      <c r="K338" s="171"/>
      <c r="L338" s="171"/>
      <c r="M338" s="171"/>
      <c r="N338" s="171"/>
      <c r="O338" s="171"/>
      <c r="P338" s="171"/>
    </row>
    <row r="339" spans="3:16" x14ac:dyDescent="0.25">
      <c r="C339" s="171"/>
      <c r="D339" s="171"/>
      <c r="E339" s="171"/>
      <c r="F339" s="171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</row>
    <row r="340" spans="3:16" x14ac:dyDescent="0.25">
      <c r="C340" s="171"/>
      <c r="D340" s="171"/>
      <c r="E340" s="171"/>
      <c r="F340" s="171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</row>
    <row r="341" spans="3:16" x14ac:dyDescent="0.25">
      <c r="C341" s="171"/>
      <c r="D341" s="171"/>
      <c r="E341" s="171"/>
      <c r="F341" s="171"/>
      <c r="G341" s="171"/>
      <c r="H341" s="171"/>
      <c r="I341" s="171"/>
      <c r="J341" s="171"/>
      <c r="K341" s="171"/>
      <c r="L341" s="171"/>
      <c r="M341" s="171"/>
      <c r="N341" s="171"/>
      <c r="O341" s="171"/>
      <c r="P341" s="171"/>
    </row>
    <row r="342" spans="3:16" x14ac:dyDescent="0.25">
      <c r="C342" s="171"/>
      <c r="D342" s="171"/>
      <c r="E342" s="171"/>
      <c r="F342" s="171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</row>
    <row r="343" spans="3:16" x14ac:dyDescent="0.25">
      <c r="C343" s="171"/>
      <c r="D343" s="171"/>
      <c r="E343" s="171"/>
      <c r="F343" s="171"/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</row>
    <row r="344" spans="3:16" x14ac:dyDescent="0.25">
      <c r="C344" s="171"/>
      <c r="D344" s="171"/>
      <c r="E344" s="171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</row>
    <row r="345" spans="3:16" x14ac:dyDescent="0.25"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</row>
    <row r="346" spans="3:16" x14ac:dyDescent="0.25">
      <c r="C346" s="171"/>
      <c r="D346" s="171"/>
      <c r="E346" s="171"/>
      <c r="F346" s="171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</row>
    <row r="347" spans="3:16" x14ac:dyDescent="0.25">
      <c r="C347" s="171"/>
      <c r="D347" s="171"/>
      <c r="E347" s="171"/>
      <c r="F347" s="171"/>
      <c r="G347" s="171"/>
      <c r="H347" s="171"/>
      <c r="I347" s="171"/>
      <c r="J347" s="171"/>
      <c r="K347" s="171"/>
      <c r="L347" s="171"/>
      <c r="M347" s="171"/>
      <c r="N347" s="171"/>
      <c r="O347" s="171"/>
      <c r="P347" s="171"/>
    </row>
    <row r="348" spans="3:16" x14ac:dyDescent="0.25">
      <c r="C348" s="171"/>
      <c r="D348" s="171"/>
      <c r="E348" s="171"/>
      <c r="F348" s="171"/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</row>
    <row r="349" spans="3:16" x14ac:dyDescent="0.25">
      <c r="C349" s="171"/>
      <c r="D349" s="171"/>
      <c r="E349" s="171"/>
      <c r="F349" s="171"/>
      <c r="G349" s="171"/>
      <c r="H349" s="171"/>
      <c r="I349" s="171"/>
      <c r="J349" s="171"/>
      <c r="K349" s="171"/>
      <c r="L349" s="171"/>
      <c r="M349" s="171"/>
      <c r="N349" s="171"/>
      <c r="O349" s="171"/>
      <c r="P349" s="171"/>
    </row>
    <row r="350" spans="3:16" x14ac:dyDescent="0.25">
      <c r="C350" s="171"/>
      <c r="D350" s="171"/>
      <c r="E350" s="171"/>
      <c r="F350" s="171"/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</row>
    <row r="351" spans="3:16" x14ac:dyDescent="0.25">
      <c r="C351" s="171"/>
      <c r="D351" s="171"/>
      <c r="E351" s="171"/>
      <c r="F351" s="171"/>
      <c r="G351" s="171"/>
      <c r="H351" s="171"/>
      <c r="I351" s="171"/>
      <c r="J351" s="171"/>
      <c r="K351" s="171"/>
      <c r="L351" s="171"/>
      <c r="M351" s="171"/>
      <c r="N351" s="171"/>
      <c r="O351" s="171"/>
      <c r="P351" s="171"/>
    </row>
    <row r="352" spans="3:16" x14ac:dyDescent="0.25">
      <c r="C352" s="171"/>
      <c r="D352" s="171"/>
      <c r="E352" s="171"/>
      <c r="F352" s="171"/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</row>
    <row r="353" spans="3:16" x14ac:dyDescent="0.25">
      <c r="C353" s="171"/>
      <c r="D353" s="171"/>
      <c r="E353" s="171"/>
      <c r="F353" s="171"/>
      <c r="G353" s="171"/>
      <c r="H353" s="171"/>
      <c r="I353" s="171"/>
      <c r="J353" s="171"/>
      <c r="K353" s="171"/>
      <c r="L353" s="171"/>
      <c r="M353" s="171"/>
      <c r="N353" s="171"/>
      <c r="O353" s="171"/>
      <c r="P353" s="171"/>
    </row>
    <row r="354" spans="3:16" x14ac:dyDescent="0.25">
      <c r="C354" s="171"/>
      <c r="D354" s="171"/>
      <c r="E354" s="171"/>
      <c r="F354" s="171"/>
      <c r="G354" s="171"/>
      <c r="H354" s="171"/>
      <c r="I354" s="171"/>
      <c r="J354" s="171"/>
      <c r="K354" s="171"/>
      <c r="L354" s="171"/>
      <c r="M354" s="171"/>
      <c r="N354" s="171"/>
      <c r="O354" s="171"/>
      <c r="P354" s="171"/>
    </row>
    <row r="355" spans="3:16" x14ac:dyDescent="0.25">
      <c r="C355" s="171"/>
      <c r="D355" s="171"/>
      <c r="E355" s="171"/>
      <c r="F355" s="171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</row>
    <row r="356" spans="3:16" x14ac:dyDescent="0.25">
      <c r="C356" s="171"/>
      <c r="D356" s="171"/>
      <c r="E356" s="171"/>
      <c r="F356" s="171"/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</row>
    <row r="357" spans="3:16" x14ac:dyDescent="0.25">
      <c r="C357" s="171"/>
      <c r="D357" s="171"/>
      <c r="E357" s="171"/>
      <c r="F357" s="171"/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</row>
  </sheetData>
  <sheetProtection algorithmName="SHA-512" hashValue="0kmCU5pTmrnggff4YFVQpzz/Z0724wLdwbbKW6pvZAWSgHMyxnwYC3qLsQpl43xGuRnadDN+tPUQ8ijB3b4dkg==" saltValue="NlZA2IXEkty5gkxQ62Y39A==" spinCount="100000" sheet="1" objects="1" scenarios="1"/>
  <mergeCells count="18">
    <mergeCell ref="J95:J101"/>
    <mergeCell ref="C9:E9"/>
    <mergeCell ref="C12:E12"/>
    <mergeCell ref="C13:E13"/>
    <mergeCell ref="B34:B52"/>
    <mergeCell ref="C96:F96"/>
    <mergeCell ref="G80:H81"/>
    <mergeCell ref="C74:H74"/>
    <mergeCell ref="C44:E44"/>
    <mergeCell ref="J24:N24"/>
    <mergeCell ref="J43:N43"/>
    <mergeCell ref="J74:N74"/>
    <mergeCell ref="C113:F113"/>
    <mergeCell ref="B95:B101"/>
    <mergeCell ref="C105:H105"/>
    <mergeCell ref="C111:H111"/>
    <mergeCell ref="G18:H18"/>
    <mergeCell ref="D18:E18"/>
  </mergeCells>
  <dataValidations count="10">
    <dataValidation type="list" allowBlank="1" showInputMessage="1" showErrorMessage="1" sqref="I111">
      <formula1>$S$72:$S$82</formula1>
    </dataValidation>
    <dataValidation showDropDown="1" showInputMessage="1" showErrorMessage="1" sqref="E41 H109:I109"/>
    <dataValidation type="list" allowBlank="1" showDropDown="1" showInputMessage="1" showErrorMessage="1" sqref="N95:N96 M94:N94">
      <formula1>$T$51:$T$51</formula1>
    </dataValidation>
    <dataValidation type="list" allowBlank="1" showInputMessage="1" showErrorMessage="1" sqref="G119:G120 G115:G117">
      <formula1>#REF!</formula1>
    </dataValidation>
    <dataValidation showInputMessage="1" showErrorMessage="1" sqref="E21"/>
    <dataValidation allowBlank="1" showDropDown="1" showInputMessage="1" showErrorMessage="1" sqref="J95"/>
    <dataValidation type="list" allowBlank="1" showInputMessage="1" showErrorMessage="1" sqref="L51 L32:L34">
      <formula1>$S$21:$S$26</formula1>
    </dataValidation>
    <dataValidation type="list" allowBlank="1" showInputMessage="1" showErrorMessage="1" sqref="L30:L31 L49:L50 L80:L81">
      <formula1>$S$22:$S$26</formula1>
    </dataValidation>
    <dataValidation type="list" showInputMessage="1" showErrorMessage="1" sqref="D41">
      <formula1>$S$44:$S$48</formula1>
    </dataValidation>
    <dataValidation type="list" allowBlank="1" showInputMessage="1" showErrorMessage="1" sqref="K94">
      <formula1>$X$53:$X$56</formula1>
    </dataValidation>
  </dataValidations>
  <pageMargins left="0.7" right="0.7" top="0.78740157499999996" bottom="0.78740157499999996" header="0.3" footer="0.3"/>
  <pageSetup paperSize="8" scale="21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5"/>
  <sheetViews>
    <sheetView workbookViewId="0">
      <selection activeCell="B19" sqref="B19"/>
    </sheetView>
  </sheetViews>
  <sheetFormatPr baseColWidth="10" defaultRowHeight="15" x14ac:dyDescent="0.25"/>
  <sheetData>
    <row r="1" spans="1:35" x14ac:dyDescent="0.25">
      <c r="A1" s="12"/>
      <c r="B1" s="16"/>
      <c r="C1" s="1" t="s">
        <v>165</v>
      </c>
      <c r="D1" s="1"/>
      <c r="E1" s="1"/>
      <c r="F1" s="1"/>
      <c r="G1" s="1"/>
      <c r="H1" s="1"/>
      <c r="L1" t="s">
        <v>173</v>
      </c>
      <c r="V1" t="s">
        <v>1801</v>
      </c>
    </row>
    <row r="2" spans="1:35" ht="45" x14ac:dyDescent="0.25">
      <c r="A2" s="13" t="s">
        <v>167</v>
      </c>
      <c r="B2" s="14" t="s">
        <v>168</v>
      </c>
      <c r="C2" s="15" t="s">
        <v>1802</v>
      </c>
      <c r="D2" s="14"/>
      <c r="E2" s="14"/>
      <c r="F2" s="14"/>
      <c r="G2" s="15"/>
      <c r="H2" s="15"/>
      <c r="J2" s="520"/>
      <c r="K2" s="3"/>
      <c r="L2" s="18" t="s">
        <v>167</v>
      </c>
      <c r="M2" s="14" t="s">
        <v>168</v>
      </c>
      <c r="N2" s="3"/>
      <c r="V2" s="21" t="s">
        <v>174</v>
      </c>
      <c r="W2" s="21" t="s">
        <v>175</v>
      </c>
      <c r="X2" s="21" t="s">
        <v>176</v>
      </c>
      <c r="Y2" s="21" t="s">
        <v>177</v>
      </c>
      <c r="Z2" s="21" t="s">
        <v>178</v>
      </c>
      <c r="AA2" s="21" t="s">
        <v>179</v>
      </c>
      <c r="AB2" s="21" t="s">
        <v>180</v>
      </c>
      <c r="AC2" s="21" t="s">
        <v>181</v>
      </c>
      <c r="AD2" s="21" t="s">
        <v>182</v>
      </c>
      <c r="AE2" s="21" t="s">
        <v>183</v>
      </c>
      <c r="AF2" s="21" t="s">
        <v>184</v>
      </c>
      <c r="AG2" s="21" t="s">
        <v>185</v>
      </c>
      <c r="AH2" s="21" t="s">
        <v>186</v>
      </c>
      <c r="AI2" s="21" t="s">
        <v>187</v>
      </c>
    </row>
    <row r="3" spans="1:35" x14ac:dyDescent="0.25">
      <c r="A3" s="25">
        <v>0</v>
      </c>
      <c r="B3" s="17">
        <v>1.292</v>
      </c>
      <c r="C3" s="15" t="s">
        <v>1803</v>
      </c>
      <c r="D3" s="14"/>
      <c r="E3" s="14"/>
      <c r="F3" s="14"/>
      <c r="G3" s="15"/>
      <c r="H3" s="15"/>
      <c r="J3" s="520"/>
      <c r="K3" s="3"/>
      <c r="L3" s="20">
        <v>0</v>
      </c>
      <c r="M3">
        <v>999.83999999999992</v>
      </c>
      <c r="N3" s="3"/>
      <c r="V3" s="22" t="s">
        <v>188</v>
      </c>
      <c r="W3" s="22" t="s">
        <v>189</v>
      </c>
      <c r="X3" s="22" t="s">
        <v>190</v>
      </c>
      <c r="Y3" s="22" t="s">
        <v>191</v>
      </c>
      <c r="Z3" s="22" t="s">
        <v>192</v>
      </c>
      <c r="AA3" s="22" t="s">
        <v>193</v>
      </c>
      <c r="AB3" s="23">
        <v>6.8266999999999994E-2</v>
      </c>
      <c r="AC3" s="24">
        <v>42170</v>
      </c>
      <c r="AD3" s="24">
        <v>42194</v>
      </c>
      <c r="AE3" s="22" t="s">
        <v>194</v>
      </c>
      <c r="AF3" s="22" t="s">
        <v>195</v>
      </c>
      <c r="AG3" s="22" t="s">
        <v>196</v>
      </c>
      <c r="AH3" s="22" t="s">
        <v>197</v>
      </c>
      <c r="AI3" s="22" t="s">
        <v>198</v>
      </c>
    </row>
    <row r="4" spans="1:35" x14ac:dyDescent="0.25">
      <c r="A4" s="25">
        <v>5</v>
      </c>
      <c r="B4" s="17">
        <v>1.2689999999999999</v>
      </c>
      <c r="C4" s="15"/>
      <c r="D4" s="14"/>
      <c r="E4" s="14"/>
      <c r="F4" s="14"/>
      <c r="G4" s="15"/>
      <c r="H4" s="14"/>
      <c r="J4" s="520"/>
      <c r="K4" s="3"/>
      <c r="L4" s="20">
        <v>0.5</v>
      </c>
      <c r="M4">
        <v>999.87199999999996</v>
      </c>
      <c r="N4" s="3"/>
      <c r="V4" s="22" t="s">
        <v>199</v>
      </c>
      <c r="W4" s="22" t="s">
        <v>189</v>
      </c>
      <c r="X4" s="22" t="s">
        <v>200</v>
      </c>
      <c r="Y4" s="22" t="s">
        <v>201</v>
      </c>
      <c r="Z4" s="24">
        <v>21111</v>
      </c>
      <c r="AA4" s="24">
        <v>22125</v>
      </c>
      <c r="AB4" s="22" t="s">
        <v>202</v>
      </c>
      <c r="AC4" s="24">
        <v>42159</v>
      </c>
      <c r="AD4" s="24">
        <v>42177</v>
      </c>
      <c r="AE4" s="22" t="s">
        <v>203</v>
      </c>
      <c r="AF4" s="22" t="s">
        <v>204</v>
      </c>
      <c r="AG4" s="22" t="s">
        <v>205</v>
      </c>
      <c r="AH4" s="22" t="s">
        <v>206</v>
      </c>
      <c r="AI4" s="22" t="s">
        <v>198</v>
      </c>
    </row>
    <row r="5" spans="1:35" x14ac:dyDescent="0.25">
      <c r="A5" s="25">
        <v>10</v>
      </c>
      <c r="B5" s="17">
        <v>1.246</v>
      </c>
      <c r="C5" s="15"/>
      <c r="D5" s="14"/>
      <c r="E5" s="14"/>
      <c r="F5" s="14"/>
      <c r="G5" s="15"/>
      <c r="H5" s="14"/>
      <c r="J5" s="520"/>
      <c r="K5" s="3"/>
      <c r="L5" s="20">
        <v>1</v>
      </c>
      <c r="M5">
        <v>999.899</v>
      </c>
      <c r="N5" s="3"/>
      <c r="V5" s="24">
        <v>10100</v>
      </c>
      <c r="W5" s="22" t="s">
        <v>189</v>
      </c>
      <c r="X5" s="22" t="s">
        <v>207</v>
      </c>
      <c r="Y5" s="22" t="s">
        <v>201</v>
      </c>
      <c r="Z5" s="24">
        <v>42196</v>
      </c>
      <c r="AA5" s="24">
        <v>43209</v>
      </c>
      <c r="AB5" s="22" t="s">
        <v>208</v>
      </c>
      <c r="AC5" s="24">
        <v>42147</v>
      </c>
      <c r="AD5" s="24">
        <v>42161</v>
      </c>
      <c r="AE5" s="22" t="s">
        <v>209</v>
      </c>
      <c r="AF5" s="22" t="s">
        <v>210</v>
      </c>
      <c r="AG5" s="22" t="s">
        <v>211</v>
      </c>
      <c r="AH5" s="22" t="s">
        <v>212</v>
      </c>
      <c r="AI5" s="22" t="s">
        <v>198</v>
      </c>
    </row>
    <row r="6" spans="1:35" x14ac:dyDescent="0.25">
      <c r="A6" s="25">
        <v>15</v>
      </c>
      <c r="B6" s="17">
        <v>1.2250000000000001</v>
      </c>
      <c r="C6" s="15"/>
      <c r="D6" s="14"/>
      <c r="G6" s="15"/>
      <c r="H6" s="14"/>
      <c r="J6" s="520"/>
      <c r="K6" s="3"/>
      <c r="L6" s="20">
        <v>1.5</v>
      </c>
      <c r="M6">
        <v>999.92200000000003</v>
      </c>
      <c r="N6" s="3"/>
      <c r="V6" s="24">
        <v>15100</v>
      </c>
      <c r="W6" s="22" t="s">
        <v>189</v>
      </c>
      <c r="X6" s="22" t="s">
        <v>213</v>
      </c>
      <c r="Y6" s="22" t="s">
        <v>201</v>
      </c>
      <c r="Z6" s="24">
        <v>63272</v>
      </c>
      <c r="AA6" s="24">
        <v>64286</v>
      </c>
      <c r="AB6" s="22" t="s">
        <v>214</v>
      </c>
      <c r="AC6" s="24">
        <v>42136</v>
      </c>
      <c r="AD6" s="24">
        <v>42145</v>
      </c>
      <c r="AE6" s="22" t="s">
        <v>215</v>
      </c>
      <c r="AF6" s="22" t="s">
        <v>216</v>
      </c>
      <c r="AG6" s="22" t="s">
        <v>217</v>
      </c>
      <c r="AH6" s="22" t="s">
        <v>218</v>
      </c>
      <c r="AI6" s="22" t="s">
        <v>198</v>
      </c>
    </row>
    <row r="7" spans="1:35" x14ac:dyDescent="0.25">
      <c r="A7" s="25">
        <v>20</v>
      </c>
      <c r="B7" s="17">
        <v>1.204</v>
      </c>
      <c r="C7" s="15"/>
      <c r="D7" s="14"/>
      <c r="G7" s="15"/>
      <c r="H7" s="14"/>
      <c r="J7" s="520"/>
      <c r="K7" s="3"/>
      <c r="L7" s="20">
        <v>2</v>
      </c>
      <c r="M7">
        <v>999.94</v>
      </c>
      <c r="N7" s="3"/>
      <c r="V7" s="24">
        <v>20100</v>
      </c>
      <c r="W7" s="22" t="s">
        <v>189</v>
      </c>
      <c r="X7" s="22" t="s">
        <v>219</v>
      </c>
      <c r="Y7" s="22" t="s">
        <v>201</v>
      </c>
      <c r="Z7" s="24">
        <v>84341</v>
      </c>
      <c r="AA7" s="24">
        <v>85355</v>
      </c>
      <c r="AB7" s="22" t="s">
        <v>220</v>
      </c>
      <c r="AC7" s="24">
        <v>42124</v>
      </c>
      <c r="AD7" s="24">
        <v>42130</v>
      </c>
      <c r="AE7" s="22" t="s">
        <v>221</v>
      </c>
      <c r="AF7" s="22" t="s">
        <v>222</v>
      </c>
      <c r="AG7" s="22" t="s">
        <v>223</v>
      </c>
      <c r="AH7" s="22" t="s">
        <v>224</v>
      </c>
      <c r="AI7" s="22" t="s">
        <v>198</v>
      </c>
    </row>
    <row r="8" spans="1:35" x14ac:dyDescent="0.25">
      <c r="A8" s="25">
        <v>25</v>
      </c>
      <c r="B8" s="17">
        <v>1.1839999999999999</v>
      </c>
      <c r="C8" s="15"/>
      <c r="D8" s="14"/>
      <c r="G8" s="15"/>
      <c r="H8" s="14"/>
      <c r="J8" s="521"/>
      <c r="K8" s="3"/>
      <c r="L8" s="20">
        <v>2.5</v>
      </c>
      <c r="M8">
        <v>999.95400000000006</v>
      </c>
      <c r="N8" s="3"/>
      <c r="V8" s="24">
        <v>25100</v>
      </c>
      <c r="W8" s="22" t="s">
        <v>189</v>
      </c>
      <c r="X8" s="22" t="s">
        <v>225</v>
      </c>
      <c r="Y8" s="22" t="s">
        <v>226</v>
      </c>
      <c r="Z8" s="24">
        <v>10540</v>
      </c>
      <c r="AA8" s="24">
        <v>10642</v>
      </c>
      <c r="AB8" s="22" t="s">
        <v>227</v>
      </c>
      <c r="AC8" s="24">
        <v>42112</v>
      </c>
      <c r="AD8" s="24">
        <v>42115</v>
      </c>
      <c r="AE8" s="22" t="s">
        <v>228</v>
      </c>
      <c r="AF8" s="22" t="s">
        <v>229</v>
      </c>
      <c r="AG8" s="22" t="s">
        <v>230</v>
      </c>
      <c r="AH8" s="22" t="s">
        <v>231</v>
      </c>
      <c r="AI8" s="22" t="s">
        <v>198</v>
      </c>
    </row>
    <row r="9" spans="1:35" x14ac:dyDescent="0.25">
      <c r="A9" s="25">
        <v>30</v>
      </c>
      <c r="B9" s="17">
        <v>1.1639999999999999</v>
      </c>
      <c r="C9" s="15"/>
      <c r="D9" s="14"/>
      <c r="G9" s="15"/>
      <c r="H9" s="14"/>
      <c r="J9" s="521"/>
      <c r="K9" s="3"/>
      <c r="L9" s="20">
        <v>3</v>
      </c>
      <c r="M9">
        <v>999.96399999999994</v>
      </c>
      <c r="N9" s="3"/>
      <c r="V9" s="24">
        <v>30100</v>
      </c>
      <c r="W9" s="22" t="s">
        <v>189</v>
      </c>
      <c r="X9" s="22" t="s">
        <v>232</v>
      </c>
      <c r="Y9" s="22" t="s">
        <v>226</v>
      </c>
      <c r="Z9" s="24">
        <v>12646</v>
      </c>
      <c r="AA9" s="24">
        <v>12747</v>
      </c>
      <c r="AB9" s="22" t="s">
        <v>233</v>
      </c>
      <c r="AC9" s="24">
        <v>42100</v>
      </c>
      <c r="AD9" s="24">
        <v>42101</v>
      </c>
      <c r="AE9" s="22" t="s">
        <v>234</v>
      </c>
      <c r="AF9" s="22" t="s">
        <v>235</v>
      </c>
      <c r="AG9" s="22" t="s">
        <v>236</v>
      </c>
      <c r="AH9" s="22" t="s">
        <v>237</v>
      </c>
      <c r="AI9" s="22" t="s">
        <v>198</v>
      </c>
    </row>
    <row r="10" spans="1:35" x14ac:dyDescent="0.25">
      <c r="A10" s="25">
        <v>35</v>
      </c>
      <c r="B10" s="17">
        <v>1.145</v>
      </c>
      <c r="C10" s="15"/>
      <c r="D10" s="14"/>
      <c r="G10" s="15"/>
      <c r="H10" s="14"/>
      <c r="J10" s="520"/>
      <c r="K10" s="3"/>
      <c r="L10" s="20">
        <v>3.5</v>
      </c>
      <c r="M10">
        <v>999.97</v>
      </c>
      <c r="N10" s="3"/>
      <c r="V10" s="24">
        <v>35100</v>
      </c>
      <c r="W10" s="22" t="s">
        <v>189</v>
      </c>
      <c r="X10" s="22" t="s">
        <v>232</v>
      </c>
      <c r="Y10" s="22" t="s">
        <v>226</v>
      </c>
      <c r="Z10" s="24">
        <v>14750</v>
      </c>
      <c r="AA10" s="24">
        <v>14852</v>
      </c>
      <c r="AB10" s="22" t="s">
        <v>238</v>
      </c>
      <c r="AC10" s="24">
        <v>42087</v>
      </c>
      <c r="AD10" s="24">
        <v>42088</v>
      </c>
      <c r="AE10" s="22" t="s">
        <v>239</v>
      </c>
      <c r="AF10" s="22" t="s">
        <v>240</v>
      </c>
      <c r="AG10" s="22" t="s">
        <v>241</v>
      </c>
      <c r="AH10" s="22" t="s">
        <v>242</v>
      </c>
      <c r="AI10" s="22" t="s">
        <v>198</v>
      </c>
    </row>
    <row r="11" spans="1:35" x14ac:dyDescent="0.25">
      <c r="A11" s="25">
        <v>40</v>
      </c>
      <c r="B11" s="17">
        <v>1.127</v>
      </c>
      <c r="C11" s="15"/>
      <c r="D11" s="14"/>
      <c r="G11" s="15"/>
      <c r="H11" s="14"/>
      <c r="J11" s="520"/>
      <c r="K11" s="3"/>
      <c r="L11" s="20">
        <v>4</v>
      </c>
      <c r="M11">
        <v>999.97199999999998</v>
      </c>
      <c r="N11" s="3"/>
      <c r="V11" s="24">
        <v>40100</v>
      </c>
      <c r="W11" s="22" t="s">
        <v>189</v>
      </c>
      <c r="X11" s="22" t="s">
        <v>232</v>
      </c>
      <c r="Y11" s="22" t="s">
        <v>226</v>
      </c>
      <c r="Z11" s="24">
        <v>16854</v>
      </c>
      <c r="AA11" s="24">
        <v>16956</v>
      </c>
      <c r="AB11" s="22" t="s">
        <v>243</v>
      </c>
      <c r="AC11" s="24">
        <v>42075</v>
      </c>
      <c r="AD11" s="24">
        <v>42075</v>
      </c>
      <c r="AE11" s="22" t="s">
        <v>244</v>
      </c>
      <c r="AF11" s="22" t="s">
        <v>245</v>
      </c>
      <c r="AG11" s="22" t="s">
        <v>246</v>
      </c>
      <c r="AH11" s="22" t="s">
        <v>247</v>
      </c>
      <c r="AI11" s="22" t="s">
        <v>198</v>
      </c>
    </row>
    <row r="12" spans="1:35" x14ac:dyDescent="0.25">
      <c r="A12" s="25">
        <v>45</v>
      </c>
      <c r="B12" s="17">
        <v>1.109</v>
      </c>
      <c r="C12" s="15"/>
      <c r="D12" s="14"/>
      <c r="G12" s="15"/>
      <c r="H12" s="14"/>
      <c r="J12" s="520"/>
      <c r="K12" s="3"/>
      <c r="L12" s="20">
        <v>4.5</v>
      </c>
      <c r="M12">
        <v>999.97</v>
      </c>
      <c r="N12" s="3"/>
      <c r="V12" s="24">
        <v>45100</v>
      </c>
      <c r="W12" s="22" t="s">
        <v>189</v>
      </c>
      <c r="X12" s="22" t="s">
        <v>232</v>
      </c>
      <c r="Y12" s="22" t="s">
        <v>226</v>
      </c>
      <c r="Z12" s="24">
        <v>18958</v>
      </c>
      <c r="AA12" s="24">
        <v>19059</v>
      </c>
      <c r="AB12" s="22" t="s">
        <v>248</v>
      </c>
      <c r="AC12" s="24">
        <v>42062</v>
      </c>
      <c r="AD12" s="24">
        <v>42062</v>
      </c>
      <c r="AE12" s="22" t="s">
        <v>249</v>
      </c>
      <c r="AF12" s="22" t="s">
        <v>250</v>
      </c>
      <c r="AG12" s="22" t="s">
        <v>251</v>
      </c>
      <c r="AH12" s="22" t="s">
        <v>252</v>
      </c>
      <c r="AI12" s="22" t="s">
        <v>198</v>
      </c>
    </row>
    <row r="13" spans="1:35" x14ac:dyDescent="0.25">
      <c r="A13" s="25">
        <v>50</v>
      </c>
      <c r="B13" s="17">
        <v>1.0920000000000001</v>
      </c>
      <c r="C13" s="15"/>
      <c r="D13" s="14"/>
      <c r="E13" s="14"/>
      <c r="F13" s="14"/>
      <c r="G13" s="15"/>
      <c r="H13" s="14"/>
      <c r="J13" s="520"/>
      <c r="K13" s="3"/>
      <c r="L13" s="20">
        <v>5</v>
      </c>
      <c r="M13">
        <v>999.96399999999994</v>
      </c>
      <c r="N13" s="3"/>
      <c r="V13" s="24">
        <v>50100</v>
      </c>
      <c r="W13" s="22" t="s">
        <v>189</v>
      </c>
      <c r="X13" s="22" t="s">
        <v>232</v>
      </c>
      <c r="Y13" s="22" t="s">
        <v>226</v>
      </c>
      <c r="Z13" s="24">
        <v>21061</v>
      </c>
      <c r="AA13" s="24">
        <v>21162</v>
      </c>
      <c r="AB13" s="22" t="s">
        <v>253</v>
      </c>
      <c r="AC13" s="24">
        <v>42049</v>
      </c>
      <c r="AD13" s="24">
        <v>42050</v>
      </c>
      <c r="AE13" s="22" t="s">
        <v>254</v>
      </c>
      <c r="AF13" s="22" t="s">
        <v>255</v>
      </c>
      <c r="AG13" s="22" t="s">
        <v>256</v>
      </c>
      <c r="AH13" s="22" t="s">
        <v>257</v>
      </c>
      <c r="AI13" s="22" t="s">
        <v>198</v>
      </c>
    </row>
    <row r="14" spans="1:35" x14ac:dyDescent="0.25">
      <c r="A14" s="25">
        <v>55</v>
      </c>
      <c r="B14" s="17">
        <v>1.0759000000000001</v>
      </c>
      <c r="C14" s="15"/>
      <c r="D14" s="14"/>
      <c r="E14" s="14"/>
      <c r="F14" s="14"/>
      <c r="G14" s="15"/>
      <c r="H14" s="14"/>
      <c r="J14" s="520"/>
      <c r="K14" s="3"/>
      <c r="L14" s="20">
        <v>5.5</v>
      </c>
      <c r="M14">
        <v>999.95400000000006</v>
      </c>
      <c r="N14" s="3"/>
      <c r="V14" s="24">
        <v>55100</v>
      </c>
      <c r="W14" s="22" t="s">
        <v>189</v>
      </c>
      <c r="X14" s="22" t="s">
        <v>225</v>
      </c>
      <c r="Y14" s="22" t="s">
        <v>226</v>
      </c>
      <c r="Z14" s="24">
        <v>23163</v>
      </c>
      <c r="AA14" s="24">
        <v>23264</v>
      </c>
      <c r="AB14" s="22" t="s">
        <v>258</v>
      </c>
      <c r="AC14" s="24">
        <v>42035</v>
      </c>
      <c r="AD14" s="24">
        <v>42039</v>
      </c>
      <c r="AE14" s="22" t="s">
        <v>259</v>
      </c>
      <c r="AF14" s="22" t="s">
        <v>260</v>
      </c>
      <c r="AG14" s="22" t="s">
        <v>261</v>
      </c>
      <c r="AH14" s="22" t="s">
        <v>262</v>
      </c>
      <c r="AI14" s="22" t="s">
        <v>198</v>
      </c>
    </row>
    <row r="15" spans="1:35" x14ac:dyDescent="0.25">
      <c r="A15" s="25">
        <v>60</v>
      </c>
      <c r="B15" s="17">
        <v>1.0589999999999999</v>
      </c>
      <c r="C15" s="15"/>
      <c r="D15" s="14"/>
      <c r="E15" s="14"/>
      <c r="F15" s="14"/>
      <c r="G15" s="15"/>
      <c r="H15" s="14"/>
      <c r="J15" s="520"/>
      <c r="K15" s="3"/>
      <c r="L15" s="20">
        <v>6</v>
      </c>
      <c r="M15">
        <v>999.94</v>
      </c>
      <c r="N15" s="3"/>
      <c r="V15" s="24">
        <v>60100</v>
      </c>
      <c r="W15" s="22" t="s">
        <v>189</v>
      </c>
      <c r="X15" s="22" t="s">
        <v>219</v>
      </c>
      <c r="Y15" s="22" t="s">
        <v>201</v>
      </c>
      <c r="Z15" s="24">
        <v>25265</v>
      </c>
      <c r="AA15" s="24">
        <v>25366</v>
      </c>
      <c r="AB15" s="22" t="s">
        <v>263</v>
      </c>
      <c r="AC15" s="24">
        <v>42022</v>
      </c>
      <c r="AD15" s="24">
        <v>42027</v>
      </c>
      <c r="AE15" s="22" t="s">
        <v>264</v>
      </c>
      <c r="AF15" s="22" t="s">
        <v>265</v>
      </c>
      <c r="AG15" s="22" t="s">
        <v>266</v>
      </c>
      <c r="AH15" s="22" t="s">
        <v>267</v>
      </c>
      <c r="AI15" s="22" t="s">
        <v>198</v>
      </c>
    </row>
    <row r="16" spans="1:35" x14ac:dyDescent="0.25">
      <c r="A16" s="25">
        <v>65</v>
      </c>
      <c r="B16" s="17">
        <v>1.0439000000000001</v>
      </c>
      <c r="C16" s="15"/>
      <c r="D16" s="14"/>
      <c r="E16" s="14"/>
      <c r="F16" s="14"/>
      <c r="G16" s="15"/>
      <c r="H16" s="14"/>
      <c r="J16" s="520"/>
      <c r="K16" s="3"/>
      <c r="L16" s="20">
        <v>6.5</v>
      </c>
      <c r="M16">
        <v>999.923</v>
      </c>
      <c r="N16" s="3"/>
      <c r="V16" s="24">
        <v>65100</v>
      </c>
      <c r="W16" s="22" t="s">
        <v>189</v>
      </c>
      <c r="X16" s="22" t="s">
        <v>268</v>
      </c>
      <c r="Y16" s="22" t="s">
        <v>201</v>
      </c>
      <c r="Z16" s="24">
        <v>27366</v>
      </c>
      <c r="AA16" s="24">
        <v>27467</v>
      </c>
      <c r="AB16" s="22" t="s">
        <v>269</v>
      </c>
      <c r="AC16" s="24">
        <v>42008</v>
      </c>
      <c r="AD16" s="24">
        <v>42017</v>
      </c>
      <c r="AE16" s="22" t="s">
        <v>270</v>
      </c>
      <c r="AF16" s="22" t="s">
        <v>271</v>
      </c>
      <c r="AG16" s="22" t="s">
        <v>272</v>
      </c>
      <c r="AH16" s="22" t="s">
        <v>273</v>
      </c>
      <c r="AI16" s="22" t="s">
        <v>198</v>
      </c>
    </row>
    <row r="17" spans="1:35" x14ac:dyDescent="0.25">
      <c r="A17" s="25">
        <v>70</v>
      </c>
      <c r="B17" s="17">
        <v>1.028</v>
      </c>
      <c r="C17" s="15"/>
      <c r="D17" s="14"/>
      <c r="E17" s="14"/>
      <c r="F17" s="14"/>
      <c r="G17" s="15"/>
      <c r="H17" s="14"/>
      <c r="J17" s="520"/>
      <c r="K17" s="3"/>
      <c r="L17" s="20">
        <v>7</v>
      </c>
      <c r="M17">
        <v>999.90199999999993</v>
      </c>
      <c r="N17" s="3"/>
      <c r="V17" s="24">
        <v>70100</v>
      </c>
      <c r="W17" s="22" t="s">
        <v>189</v>
      </c>
      <c r="X17" s="22" t="s">
        <v>207</v>
      </c>
      <c r="Y17" s="22" t="s">
        <v>201</v>
      </c>
      <c r="Z17" s="24">
        <v>29466</v>
      </c>
      <c r="AA17" s="24">
        <v>29568</v>
      </c>
      <c r="AB17" s="22" t="s">
        <v>274</v>
      </c>
      <c r="AC17" s="24">
        <v>41994</v>
      </c>
      <c r="AD17" s="24">
        <v>42006</v>
      </c>
      <c r="AE17" s="22" t="s">
        <v>275</v>
      </c>
      <c r="AF17" s="22" t="s">
        <v>276</v>
      </c>
      <c r="AG17" s="22" t="s">
        <v>277</v>
      </c>
      <c r="AH17" s="22" t="s">
        <v>278</v>
      </c>
      <c r="AI17" s="22" t="s">
        <v>198</v>
      </c>
    </row>
    <row r="18" spans="1:35" x14ac:dyDescent="0.25">
      <c r="A18" s="25">
        <v>75</v>
      </c>
      <c r="B18" s="17">
        <v>1.0139</v>
      </c>
      <c r="C18" s="15"/>
      <c r="D18" s="14"/>
      <c r="E18" s="14"/>
      <c r="F18" s="14"/>
      <c r="G18" s="15"/>
      <c r="H18" s="14"/>
      <c r="J18" s="520"/>
      <c r="K18" s="3"/>
      <c r="L18" s="20">
        <v>7.5</v>
      </c>
      <c r="M18">
        <v>999.87700000000007</v>
      </c>
      <c r="N18" s="3"/>
      <c r="V18" s="24">
        <v>75100</v>
      </c>
      <c r="W18" s="22" t="s">
        <v>189</v>
      </c>
      <c r="X18" s="22" t="s">
        <v>200</v>
      </c>
      <c r="Y18" s="22" t="s">
        <v>201</v>
      </c>
      <c r="Z18" s="24">
        <v>31566</v>
      </c>
      <c r="AA18" s="24">
        <v>31668</v>
      </c>
      <c r="AB18" s="22" t="s">
        <v>279</v>
      </c>
      <c r="AC18" s="24">
        <v>41980</v>
      </c>
      <c r="AD18" s="24">
        <v>41996</v>
      </c>
      <c r="AE18" s="22" t="s">
        <v>280</v>
      </c>
      <c r="AF18" s="22" t="s">
        <v>281</v>
      </c>
      <c r="AG18" s="22" t="s">
        <v>282</v>
      </c>
      <c r="AH18" s="22" t="s">
        <v>283</v>
      </c>
      <c r="AI18" s="22" t="s">
        <v>198</v>
      </c>
    </row>
    <row r="19" spans="1:35" x14ac:dyDescent="0.25">
      <c r="A19" s="25">
        <v>80</v>
      </c>
      <c r="B19" s="17">
        <v>0.99939999999999996</v>
      </c>
      <c r="C19" s="15"/>
      <c r="D19" s="14"/>
      <c r="E19" s="14"/>
      <c r="F19" s="14"/>
      <c r="G19" s="15"/>
      <c r="H19" s="14"/>
      <c r="J19" s="520"/>
      <c r="K19" s="3"/>
      <c r="L19" s="20">
        <v>8</v>
      </c>
      <c r="M19">
        <v>999.84799999999996</v>
      </c>
      <c r="N19" s="3"/>
      <c r="V19" s="24">
        <v>80100</v>
      </c>
      <c r="W19" s="22" t="s">
        <v>189</v>
      </c>
      <c r="X19" s="22" t="s">
        <v>284</v>
      </c>
      <c r="Y19" s="22" t="s">
        <v>201</v>
      </c>
      <c r="Z19" s="24">
        <v>33666</v>
      </c>
      <c r="AA19" s="24">
        <v>33767</v>
      </c>
      <c r="AB19" s="22" t="s">
        <v>285</v>
      </c>
      <c r="AC19" s="24">
        <v>41965</v>
      </c>
      <c r="AD19" s="24">
        <v>41986</v>
      </c>
      <c r="AE19" s="22" t="s">
        <v>286</v>
      </c>
      <c r="AF19" s="22" t="s">
        <v>287</v>
      </c>
      <c r="AG19" s="22" t="s">
        <v>288</v>
      </c>
      <c r="AH19" s="22" t="s">
        <v>289</v>
      </c>
      <c r="AI19" s="22" t="s">
        <v>198</v>
      </c>
    </row>
    <row r="20" spans="1:35" x14ac:dyDescent="0.25">
      <c r="A20" s="25">
        <v>85</v>
      </c>
      <c r="B20" s="17">
        <v>0.98550000000000004</v>
      </c>
      <c r="C20" s="15"/>
      <c r="D20" s="14"/>
      <c r="E20" s="14"/>
      <c r="F20" s="14"/>
      <c r="G20" s="15"/>
      <c r="H20" s="14"/>
      <c r="J20" s="520"/>
      <c r="K20" s="3"/>
      <c r="L20" s="20">
        <v>8.5</v>
      </c>
      <c r="M20">
        <v>999.81600000000003</v>
      </c>
      <c r="N20" s="3"/>
      <c r="V20" s="24">
        <v>85100</v>
      </c>
      <c r="W20" s="22" t="s">
        <v>189</v>
      </c>
      <c r="X20" s="22" t="s">
        <v>290</v>
      </c>
      <c r="Y20" s="22" t="s">
        <v>191</v>
      </c>
      <c r="Z20" s="24">
        <v>35765</v>
      </c>
      <c r="AA20" s="24">
        <v>35866</v>
      </c>
      <c r="AB20" s="22" t="s">
        <v>291</v>
      </c>
      <c r="AC20" s="24">
        <v>41951</v>
      </c>
      <c r="AD20" s="24">
        <v>41977</v>
      </c>
      <c r="AE20" s="22" t="s">
        <v>292</v>
      </c>
      <c r="AF20" s="22" t="s">
        <v>293</v>
      </c>
      <c r="AG20" s="22" t="s">
        <v>294</v>
      </c>
      <c r="AH20" s="22" t="s">
        <v>295</v>
      </c>
      <c r="AI20" s="22" t="s">
        <v>198</v>
      </c>
    </row>
    <row r="21" spans="1:35" x14ac:dyDescent="0.25">
      <c r="A21" s="25">
        <v>90</v>
      </c>
      <c r="B21" s="17">
        <v>0.9718</v>
      </c>
      <c r="C21" s="15"/>
      <c r="D21" s="14"/>
      <c r="E21" s="14"/>
      <c r="F21" s="14"/>
      <c r="G21" s="15"/>
      <c r="H21" s="14"/>
      <c r="J21" s="520"/>
      <c r="K21" s="3"/>
      <c r="L21" s="20">
        <v>9</v>
      </c>
      <c r="M21">
        <v>999.78</v>
      </c>
      <c r="N21" s="3"/>
      <c r="V21" s="24">
        <v>90100</v>
      </c>
      <c r="W21" s="22" t="s">
        <v>189</v>
      </c>
      <c r="X21" s="22" t="s">
        <v>296</v>
      </c>
      <c r="Y21" s="22" t="s">
        <v>191</v>
      </c>
      <c r="Z21" s="24">
        <v>37864</v>
      </c>
      <c r="AA21" s="24">
        <v>37965</v>
      </c>
      <c r="AB21" s="22" t="s">
        <v>297</v>
      </c>
      <c r="AC21" s="24">
        <v>41936</v>
      </c>
      <c r="AD21" s="24">
        <v>41968</v>
      </c>
      <c r="AE21" s="22" t="s">
        <v>298</v>
      </c>
      <c r="AF21" s="22" t="s">
        <v>299</v>
      </c>
      <c r="AG21" s="22" t="s">
        <v>300</v>
      </c>
      <c r="AH21" s="22" t="s">
        <v>301</v>
      </c>
      <c r="AI21" s="22" t="s">
        <v>198</v>
      </c>
    </row>
    <row r="22" spans="1:35" x14ac:dyDescent="0.25">
      <c r="A22" s="25">
        <v>95</v>
      </c>
      <c r="B22" s="17">
        <v>0.9587</v>
      </c>
      <c r="C22" s="15"/>
      <c r="D22" s="14"/>
      <c r="E22" s="14"/>
      <c r="F22" s="14"/>
      <c r="G22" s="15"/>
      <c r="H22" s="14"/>
      <c r="J22" s="520"/>
      <c r="K22" s="3"/>
      <c r="L22" s="20">
        <v>9.5</v>
      </c>
      <c r="M22">
        <v>999.74099999999999</v>
      </c>
      <c r="N22" s="3"/>
      <c r="V22" s="24">
        <v>95100</v>
      </c>
      <c r="W22" s="22" t="s">
        <v>189</v>
      </c>
      <c r="X22" s="22" t="s">
        <v>302</v>
      </c>
      <c r="Y22" s="22" t="s">
        <v>303</v>
      </c>
      <c r="Z22" s="24">
        <v>39962</v>
      </c>
      <c r="AA22" s="24">
        <v>40063</v>
      </c>
      <c r="AB22" s="22" t="s">
        <v>304</v>
      </c>
      <c r="AC22" s="24">
        <v>41921</v>
      </c>
      <c r="AD22" s="24">
        <v>41960</v>
      </c>
      <c r="AE22" s="22" t="s">
        <v>305</v>
      </c>
      <c r="AF22" s="22" t="s">
        <v>306</v>
      </c>
      <c r="AG22" s="22" t="s">
        <v>307</v>
      </c>
      <c r="AH22" s="22" t="s">
        <v>308</v>
      </c>
      <c r="AI22" s="22" t="s">
        <v>198</v>
      </c>
    </row>
    <row r="23" spans="1:35" x14ac:dyDescent="0.25">
      <c r="A23" s="25">
        <v>100</v>
      </c>
      <c r="B23" s="17">
        <v>0.94579999999999997</v>
      </c>
      <c r="C23" s="15"/>
      <c r="D23" s="27"/>
      <c r="E23" s="14"/>
      <c r="F23" s="14"/>
      <c r="G23" s="15"/>
      <c r="H23" s="14"/>
      <c r="J23" s="520"/>
      <c r="K23" s="3"/>
      <c r="L23" s="20">
        <v>10</v>
      </c>
      <c r="M23">
        <v>999.69899999999996</v>
      </c>
      <c r="N23" s="3"/>
      <c r="V23" s="24">
        <v>10010</v>
      </c>
      <c r="W23" s="22" t="s">
        <v>189</v>
      </c>
      <c r="X23" s="22" t="s">
        <v>309</v>
      </c>
      <c r="Y23" s="22" t="s">
        <v>303</v>
      </c>
      <c r="Z23" s="24">
        <v>42059</v>
      </c>
      <c r="AA23" s="24">
        <v>42161</v>
      </c>
      <c r="AB23" s="22" t="s">
        <v>310</v>
      </c>
      <c r="AC23" s="24">
        <v>41905</v>
      </c>
      <c r="AD23" s="24">
        <v>41951</v>
      </c>
      <c r="AE23" s="22" t="s">
        <v>311</v>
      </c>
      <c r="AF23" s="22" t="s">
        <v>312</v>
      </c>
      <c r="AG23" s="22" t="s">
        <v>313</v>
      </c>
      <c r="AH23" s="22" t="s">
        <v>314</v>
      </c>
      <c r="AI23" s="22" t="s">
        <v>198</v>
      </c>
    </row>
    <row r="24" spans="1:35" x14ac:dyDescent="0.25">
      <c r="A24" s="25">
        <v>105</v>
      </c>
      <c r="B24" s="17">
        <v>0.93320000000000003</v>
      </c>
      <c r="C24" s="15"/>
      <c r="D24" s="14"/>
      <c r="E24" s="14"/>
      <c r="F24" s="14"/>
      <c r="G24" s="15"/>
      <c r="H24" s="14"/>
      <c r="J24" s="520"/>
      <c r="K24" s="3"/>
      <c r="L24" s="20">
        <v>10.5</v>
      </c>
      <c r="M24">
        <v>999.65300000000002</v>
      </c>
      <c r="N24" s="3"/>
      <c r="V24" s="24">
        <v>10510</v>
      </c>
      <c r="W24" s="22" t="s">
        <v>189</v>
      </c>
      <c r="X24" s="22" t="s">
        <v>315</v>
      </c>
      <c r="Y24" s="22" t="s">
        <v>303</v>
      </c>
      <c r="Z24" s="24">
        <v>44157</v>
      </c>
      <c r="AA24" s="24">
        <v>44258</v>
      </c>
      <c r="AB24" s="22" t="s">
        <v>316</v>
      </c>
      <c r="AC24" s="24">
        <v>41890</v>
      </c>
      <c r="AD24" s="24">
        <v>41943</v>
      </c>
      <c r="AE24" s="22" t="s">
        <v>317</v>
      </c>
      <c r="AF24" s="22" t="s">
        <v>318</v>
      </c>
      <c r="AG24" s="22" t="s">
        <v>319</v>
      </c>
      <c r="AH24" s="22" t="s">
        <v>320</v>
      </c>
      <c r="AI24" s="22" t="s">
        <v>198</v>
      </c>
    </row>
    <row r="25" spans="1:35" x14ac:dyDescent="0.25">
      <c r="A25" s="25">
        <v>110</v>
      </c>
      <c r="B25" s="17">
        <v>0.92100000000000004</v>
      </c>
      <c r="C25" s="15"/>
      <c r="D25" s="14"/>
      <c r="E25" s="14"/>
      <c r="F25" s="14"/>
      <c r="G25" s="15"/>
      <c r="H25" s="14"/>
      <c r="J25" s="520"/>
      <c r="K25" s="3"/>
      <c r="L25" s="20">
        <v>11</v>
      </c>
      <c r="M25">
        <v>999.60400000000004</v>
      </c>
      <c r="N25" s="3"/>
      <c r="V25" s="24">
        <v>11010</v>
      </c>
      <c r="W25" s="22" t="s">
        <v>189</v>
      </c>
      <c r="X25" s="22" t="s">
        <v>321</v>
      </c>
      <c r="Y25" s="22" t="s">
        <v>322</v>
      </c>
      <c r="Z25" s="24">
        <v>46254</v>
      </c>
      <c r="AA25" s="24">
        <v>46355</v>
      </c>
      <c r="AB25" s="22" t="s">
        <v>323</v>
      </c>
      <c r="AC25" s="24">
        <v>41875</v>
      </c>
      <c r="AD25" s="24">
        <v>41936</v>
      </c>
      <c r="AE25" s="22" t="s">
        <v>324</v>
      </c>
      <c r="AF25" s="22" t="s">
        <v>325</v>
      </c>
      <c r="AG25" s="22" t="s">
        <v>326</v>
      </c>
      <c r="AH25" s="22" t="s">
        <v>327</v>
      </c>
      <c r="AI25" s="22" t="s">
        <v>198</v>
      </c>
    </row>
    <row r="26" spans="1:35" x14ac:dyDescent="0.25">
      <c r="A26" s="25">
        <v>115</v>
      </c>
      <c r="B26" s="17">
        <v>0.90910000000000002</v>
      </c>
      <c r="C26" s="15"/>
      <c r="D26" s="14"/>
      <c r="E26" s="14"/>
      <c r="F26" s="14"/>
      <c r="G26" s="15"/>
      <c r="H26" s="14"/>
      <c r="K26" s="3"/>
      <c r="L26" s="20">
        <v>11.5</v>
      </c>
      <c r="M26">
        <v>999.55200000000002</v>
      </c>
      <c r="N26" s="3"/>
      <c r="V26" s="24">
        <v>11510</v>
      </c>
      <c r="W26" s="22" t="s">
        <v>189</v>
      </c>
      <c r="X26" s="22" t="s">
        <v>328</v>
      </c>
      <c r="Y26" s="22" t="s">
        <v>322</v>
      </c>
      <c r="Z26" s="24">
        <v>48350</v>
      </c>
      <c r="AA26" s="24">
        <v>48452</v>
      </c>
      <c r="AB26" s="22" t="s">
        <v>329</v>
      </c>
      <c r="AC26" s="24">
        <v>41859</v>
      </c>
      <c r="AD26" s="24">
        <v>41928</v>
      </c>
      <c r="AE26" s="22" t="s">
        <v>330</v>
      </c>
      <c r="AF26" s="22" t="s">
        <v>331</v>
      </c>
      <c r="AG26" s="22" t="s">
        <v>332</v>
      </c>
      <c r="AH26" s="22" t="s">
        <v>333</v>
      </c>
      <c r="AI26" s="22" t="s">
        <v>198</v>
      </c>
    </row>
    <row r="27" spans="1:35" x14ac:dyDescent="0.25">
      <c r="A27" s="25">
        <v>120</v>
      </c>
      <c r="B27" s="17">
        <v>0.89770000000000005</v>
      </c>
      <c r="C27" s="15"/>
      <c r="D27" s="14"/>
      <c r="E27" s="14"/>
      <c r="F27" s="14"/>
      <c r="G27" s="15"/>
      <c r="H27" s="14"/>
      <c r="I27" s="15"/>
      <c r="K27" s="3"/>
      <c r="L27" s="20">
        <v>12</v>
      </c>
      <c r="M27">
        <v>999.49699999999996</v>
      </c>
      <c r="N27" s="3"/>
      <c r="V27" s="24">
        <v>12010</v>
      </c>
      <c r="W27" s="22" t="s">
        <v>189</v>
      </c>
      <c r="X27" s="22" t="s">
        <v>334</v>
      </c>
      <c r="Y27" s="22" t="s">
        <v>335</v>
      </c>
      <c r="Z27" s="24">
        <v>50447</v>
      </c>
      <c r="AA27" s="24">
        <v>50548</v>
      </c>
      <c r="AB27" s="22" t="s">
        <v>336</v>
      </c>
      <c r="AC27" s="24">
        <v>41843</v>
      </c>
      <c r="AD27" s="24">
        <v>41921</v>
      </c>
      <c r="AE27" s="22" t="s">
        <v>337</v>
      </c>
      <c r="AF27" s="22" t="s">
        <v>338</v>
      </c>
      <c r="AG27" s="22" t="s">
        <v>339</v>
      </c>
      <c r="AH27" s="22" t="s">
        <v>340</v>
      </c>
      <c r="AI27" s="22" t="s">
        <v>198</v>
      </c>
    </row>
    <row r="28" spans="1:35" x14ac:dyDescent="0.25">
      <c r="A28" s="25">
        <v>125</v>
      </c>
      <c r="B28" s="17">
        <v>0.88619999999999999</v>
      </c>
      <c r="K28" s="3"/>
      <c r="L28" s="20">
        <v>12.5</v>
      </c>
      <c r="M28">
        <v>999.4380000000001</v>
      </c>
      <c r="N28" s="3"/>
      <c r="V28" s="24">
        <v>12510</v>
      </c>
      <c r="W28" s="22" t="s">
        <v>189</v>
      </c>
      <c r="X28" s="22" t="s">
        <v>341</v>
      </c>
      <c r="Y28" s="22" t="s">
        <v>342</v>
      </c>
      <c r="Z28" s="24">
        <v>52543</v>
      </c>
      <c r="AA28" s="24">
        <v>52644</v>
      </c>
      <c r="AB28" s="22" t="s">
        <v>343</v>
      </c>
      <c r="AC28" s="24">
        <v>41827</v>
      </c>
      <c r="AD28" s="24">
        <v>41915</v>
      </c>
      <c r="AE28" s="22" t="s">
        <v>344</v>
      </c>
      <c r="AF28" s="22" t="s">
        <v>345</v>
      </c>
      <c r="AG28" s="22" t="s">
        <v>346</v>
      </c>
      <c r="AH28" s="22" t="s">
        <v>347</v>
      </c>
      <c r="AI28" s="22" t="s">
        <v>198</v>
      </c>
    </row>
    <row r="29" spans="1:35" x14ac:dyDescent="0.25">
      <c r="A29" s="25">
        <v>140</v>
      </c>
      <c r="B29" s="17">
        <v>0.85419999999999996</v>
      </c>
      <c r="K29" s="3"/>
      <c r="L29" s="20">
        <v>13</v>
      </c>
      <c r="M29">
        <v>999.37600000000009</v>
      </c>
      <c r="N29" s="3"/>
      <c r="Q29" s="3"/>
      <c r="R29" s="3"/>
      <c r="S29" s="3"/>
      <c r="V29" s="24">
        <v>13010</v>
      </c>
      <c r="W29" s="22" t="s">
        <v>189</v>
      </c>
      <c r="X29" s="22" t="s">
        <v>348</v>
      </c>
      <c r="Y29" s="22" t="s">
        <v>342</v>
      </c>
      <c r="Z29" s="24">
        <v>54638</v>
      </c>
      <c r="AA29" s="24">
        <v>54740</v>
      </c>
      <c r="AB29" s="22" t="s">
        <v>349</v>
      </c>
      <c r="AC29" s="24">
        <v>41811</v>
      </c>
      <c r="AD29" s="24">
        <v>41908</v>
      </c>
      <c r="AE29" s="22" t="s">
        <v>350</v>
      </c>
      <c r="AF29" s="22" t="s">
        <v>351</v>
      </c>
      <c r="AG29" s="22" t="s">
        <v>352</v>
      </c>
      <c r="AH29" s="22" t="s">
        <v>353</v>
      </c>
      <c r="AI29" s="22" t="s">
        <v>198</v>
      </c>
    </row>
    <row r="30" spans="1:35" x14ac:dyDescent="0.25">
      <c r="A30" s="25">
        <v>150</v>
      </c>
      <c r="B30" s="17">
        <v>0.83379999999999999</v>
      </c>
      <c r="K30" s="3"/>
      <c r="L30" s="20">
        <v>13.5</v>
      </c>
      <c r="M30">
        <v>999.31099999999992</v>
      </c>
      <c r="N30" s="3"/>
      <c r="Q30" s="3"/>
      <c r="R30" s="3"/>
      <c r="S30" s="3"/>
      <c r="V30" s="24">
        <v>13510</v>
      </c>
      <c r="W30" s="22" t="s">
        <v>189</v>
      </c>
      <c r="X30" s="22" t="s">
        <v>354</v>
      </c>
      <c r="Y30" s="22" t="s">
        <v>355</v>
      </c>
      <c r="Z30" s="24">
        <v>56733</v>
      </c>
      <c r="AA30" s="24">
        <v>56835</v>
      </c>
      <c r="AB30" s="22" t="s">
        <v>356</v>
      </c>
      <c r="AC30" s="24">
        <v>41794</v>
      </c>
      <c r="AD30" s="24">
        <v>41902</v>
      </c>
      <c r="AE30" s="22" t="s">
        <v>357</v>
      </c>
      <c r="AF30" s="22" t="s">
        <v>358</v>
      </c>
      <c r="AG30" s="22" t="s">
        <v>359</v>
      </c>
      <c r="AH30" s="22" t="s">
        <v>360</v>
      </c>
      <c r="AI30" s="22" t="s">
        <v>198</v>
      </c>
    </row>
    <row r="31" spans="1:35" x14ac:dyDescent="0.25">
      <c r="A31" s="25">
        <v>160</v>
      </c>
      <c r="B31" s="17">
        <v>0.81479999999999997</v>
      </c>
      <c r="K31" s="3"/>
      <c r="L31" s="20">
        <v>14</v>
      </c>
      <c r="M31">
        <v>999.24299999999994</v>
      </c>
      <c r="N31" s="3"/>
      <c r="Q31" s="3"/>
      <c r="R31" s="3"/>
      <c r="S31" s="3"/>
      <c r="V31" s="24">
        <v>14010</v>
      </c>
      <c r="W31" s="22" t="s">
        <v>189</v>
      </c>
      <c r="X31" s="22" t="s">
        <v>361</v>
      </c>
      <c r="Y31" s="22" t="s">
        <v>362</v>
      </c>
      <c r="Z31" s="24">
        <v>58828</v>
      </c>
      <c r="AA31" s="24">
        <v>58930</v>
      </c>
      <c r="AB31" s="22" t="s">
        <v>363</v>
      </c>
      <c r="AC31" s="24">
        <v>41778</v>
      </c>
      <c r="AD31" s="24">
        <v>41896</v>
      </c>
      <c r="AE31" s="22" t="s">
        <v>364</v>
      </c>
      <c r="AF31" s="22" t="s">
        <v>365</v>
      </c>
      <c r="AG31" s="22" t="s">
        <v>366</v>
      </c>
      <c r="AH31" s="22" t="s">
        <v>367</v>
      </c>
      <c r="AI31" s="22" t="s">
        <v>198</v>
      </c>
    </row>
    <row r="32" spans="1:35" x14ac:dyDescent="0.25">
      <c r="A32" s="25">
        <v>175</v>
      </c>
      <c r="B32" s="17">
        <v>0.78680000000000005</v>
      </c>
      <c r="K32" s="3"/>
      <c r="L32" s="20">
        <v>14.5</v>
      </c>
      <c r="M32">
        <v>999.17199999999991</v>
      </c>
      <c r="N32" s="3"/>
      <c r="Q32" s="3"/>
      <c r="R32" s="3"/>
      <c r="S32" s="3"/>
      <c r="V32" s="24">
        <v>14510</v>
      </c>
      <c r="W32" s="22" t="s">
        <v>189</v>
      </c>
      <c r="X32" s="22" t="s">
        <v>368</v>
      </c>
      <c r="Y32" s="22" t="s">
        <v>362</v>
      </c>
      <c r="Z32" s="24">
        <v>60923</v>
      </c>
      <c r="AA32" s="24">
        <v>61024</v>
      </c>
      <c r="AB32" s="22" t="s">
        <v>369</v>
      </c>
      <c r="AC32" s="24">
        <v>41761</v>
      </c>
      <c r="AD32" s="24">
        <v>41890</v>
      </c>
      <c r="AE32" s="22" t="s">
        <v>370</v>
      </c>
      <c r="AF32" s="22" t="s">
        <v>371</v>
      </c>
      <c r="AG32" s="22" t="s">
        <v>372</v>
      </c>
      <c r="AH32" s="22" t="s">
        <v>373</v>
      </c>
      <c r="AI32" s="22" t="s">
        <v>198</v>
      </c>
    </row>
    <row r="33" spans="1:35" x14ac:dyDescent="0.25">
      <c r="A33" s="25">
        <v>180</v>
      </c>
      <c r="B33" s="17">
        <v>0.77880000000000005</v>
      </c>
      <c r="K33" s="3"/>
      <c r="L33" s="20">
        <v>15</v>
      </c>
      <c r="M33">
        <v>999.09800000000007</v>
      </c>
      <c r="N33" s="3"/>
      <c r="Q33" s="3"/>
      <c r="R33" s="3"/>
      <c r="S33" s="3"/>
      <c r="V33" s="24">
        <v>15010</v>
      </c>
      <c r="W33" s="22" t="s">
        <v>189</v>
      </c>
      <c r="X33" s="22" t="s">
        <v>374</v>
      </c>
      <c r="Y33" s="22" t="s">
        <v>375</v>
      </c>
      <c r="Z33" s="24">
        <v>63017</v>
      </c>
      <c r="AA33" s="24">
        <v>63119</v>
      </c>
      <c r="AB33" s="22" t="s">
        <v>376</v>
      </c>
      <c r="AC33" s="24">
        <v>41744</v>
      </c>
      <c r="AD33" s="24">
        <v>41884</v>
      </c>
      <c r="AE33" s="22" t="s">
        <v>377</v>
      </c>
      <c r="AF33" s="22" t="s">
        <v>378</v>
      </c>
      <c r="AG33" s="22" t="s">
        <v>379</v>
      </c>
      <c r="AH33" s="22" t="s">
        <v>380</v>
      </c>
      <c r="AI33" s="22" t="s">
        <v>198</v>
      </c>
    </row>
    <row r="34" spans="1:35" x14ac:dyDescent="0.25">
      <c r="A34" s="25">
        <v>200</v>
      </c>
      <c r="B34" s="17">
        <v>0.74590000000000001</v>
      </c>
      <c r="K34" s="3"/>
      <c r="L34" s="20">
        <v>15.5</v>
      </c>
      <c r="M34">
        <v>999.02199999999993</v>
      </c>
      <c r="N34" s="3"/>
      <c r="Q34" s="3"/>
      <c r="R34" s="3"/>
      <c r="S34" s="3"/>
      <c r="V34" s="24">
        <v>15510</v>
      </c>
      <c r="W34" s="22" t="s">
        <v>189</v>
      </c>
      <c r="X34" s="22" t="s">
        <v>381</v>
      </c>
      <c r="Y34" s="22" t="s">
        <v>382</v>
      </c>
      <c r="Z34" s="24">
        <v>65111</v>
      </c>
      <c r="AA34" s="24">
        <v>65213</v>
      </c>
      <c r="AB34" s="22" t="s">
        <v>383</v>
      </c>
      <c r="AC34" s="24">
        <v>41727</v>
      </c>
      <c r="AD34" s="24">
        <v>41879</v>
      </c>
      <c r="AE34" s="22" t="s">
        <v>384</v>
      </c>
      <c r="AF34" s="22" t="s">
        <v>385</v>
      </c>
      <c r="AG34" s="22" t="s">
        <v>386</v>
      </c>
      <c r="AH34" s="22" t="s">
        <v>387</v>
      </c>
      <c r="AI34" s="22" t="s">
        <v>198</v>
      </c>
    </row>
    <row r="35" spans="1:35" x14ac:dyDescent="0.25">
      <c r="A35" s="25">
        <v>225</v>
      </c>
      <c r="B35" s="17">
        <v>0.70779999999999998</v>
      </c>
      <c r="K35" s="3"/>
      <c r="L35" s="20">
        <v>16</v>
      </c>
      <c r="M35">
        <v>998.94200000000001</v>
      </c>
      <c r="N35" s="3"/>
      <c r="Q35" s="3"/>
      <c r="R35" s="3"/>
      <c r="S35" s="3"/>
      <c r="V35" s="24">
        <v>16010</v>
      </c>
      <c r="W35" s="22" t="s">
        <v>189</v>
      </c>
      <c r="X35" s="22" t="s">
        <v>388</v>
      </c>
      <c r="Y35" s="22" t="s">
        <v>389</v>
      </c>
      <c r="Z35" s="24">
        <v>67205</v>
      </c>
      <c r="AA35" s="24">
        <v>67307</v>
      </c>
      <c r="AB35" s="22" t="s">
        <v>390</v>
      </c>
      <c r="AC35" s="24">
        <v>41710</v>
      </c>
      <c r="AD35" s="24">
        <v>41874</v>
      </c>
      <c r="AE35" s="22" t="s">
        <v>391</v>
      </c>
      <c r="AF35" s="22" t="s">
        <v>392</v>
      </c>
      <c r="AG35" s="22" t="s">
        <v>393</v>
      </c>
      <c r="AH35" s="22" t="s">
        <v>394</v>
      </c>
      <c r="AI35" s="22" t="s">
        <v>198</v>
      </c>
    </row>
    <row r="36" spans="1:35" x14ac:dyDescent="0.25">
      <c r="A36" s="25">
        <v>250</v>
      </c>
      <c r="B36" s="17">
        <v>0.67459999999999998</v>
      </c>
      <c r="K36" s="3"/>
      <c r="L36" s="20">
        <v>16.5</v>
      </c>
      <c r="M36">
        <v>998.85900000000004</v>
      </c>
      <c r="N36" s="3"/>
      <c r="Q36" s="3"/>
      <c r="R36" s="20"/>
      <c r="S36" s="20"/>
      <c r="V36" s="24">
        <v>16510</v>
      </c>
      <c r="W36" s="22" t="s">
        <v>189</v>
      </c>
      <c r="X36" s="22" t="s">
        <v>395</v>
      </c>
      <c r="Y36" s="22" t="s">
        <v>389</v>
      </c>
      <c r="Z36" s="24">
        <v>69299</v>
      </c>
      <c r="AA36" s="24">
        <v>69400</v>
      </c>
      <c r="AB36" s="22" t="s">
        <v>396</v>
      </c>
      <c r="AC36" s="24">
        <v>41692</v>
      </c>
      <c r="AD36" s="24">
        <v>41869</v>
      </c>
      <c r="AE36" s="22" t="s">
        <v>397</v>
      </c>
      <c r="AF36" s="22" t="s">
        <v>398</v>
      </c>
      <c r="AG36" s="22" t="s">
        <v>399</v>
      </c>
      <c r="AH36" s="22" t="s">
        <v>400</v>
      </c>
      <c r="AI36" s="22" t="s">
        <v>198</v>
      </c>
    </row>
    <row r="37" spans="1:35" x14ac:dyDescent="0.25">
      <c r="A37" s="25">
        <v>300</v>
      </c>
      <c r="B37" s="17">
        <v>0.61580000000000001</v>
      </c>
      <c r="K37" s="3"/>
      <c r="L37" s="20">
        <v>17</v>
      </c>
      <c r="M37">
        <v>998.77300000000002</v>
      </c>
      <c r="N37" s="3"/>
      <c r="Q37" s="3"/>
      <c r="R37" s="20"/>
      <c r="S37" s="20"/>
      <c r="V37" s="24">
        <v>17010</v>
      </c>
      <c r="W37" s="22" t="s">
        <v>189</v>
      </c>
      <c r="X37" s="22" t="s">
        <v>401</v>
      </c>
      <c r="Y37" s="22" t="s">
        <v>402</v>
      </c>
      <c r="Z37" s="24">
        <v>71392</v>
      </c>
      <c r="AA37" s="24">
        <v>71494</v>
      </c>
      <c r="AB37" s="22" t="s">
        <v>403</v>
      </c>
      <c r="AC37" s="24">
        <v>41675</v>
      </c>
      <c r="AD37" s="24">
        <v>41865</v>
      </c>
      <c r="AE37" s="22" t="s">
        <v>404</v>
      </c>
      <c r="AF37" s="22" t="s">
        <v>405</v>
      </c>
      <c r="AG37" s="22" t="s">
        <v>406</v>
      </c>
      <c r="AH37" s="22" t="s">
        <v>407</v>
      </c>
      <c r="AI37" s="22" t="s">
        <v>198</v>
      </c>
    </row>
    <row r="38" spans="1:35" x14ac:dyDescent="0.25">
      <c r="A38" s="25">
        <v>350</v>
      </c>
      <c r="B38" s="17">
        <v>0.56640000000000001</v>
      </c>
      <c r="K38" s="3"/>
      <c r="L38" s="20">
        <v>17.5</v>
      </c>
      <c r="M38">
        <v>998.68500000000006</v>
      </c>
      <c r="N38" s="3"/>
      <c r="Q38" s="3"/>
      <c r="R38" s="3"/>
      <c r="S38" s="3"/>
      <c r="V38" s="24">
        <v>17510</v>
      </c>
      <c r="W38" s="22" t="s">
        <v>189</v>
      </c>
      <c r="X38" s="22" t="s">
        <v>408</v>
      </c>
      <c r="Y38" s="22" t="s">
        <v>409</v>
      </c>
      <c r="Z38" s="24">
        <v>73485</v>
      </c>
      <c r="AA38" s="24">
        <v>73587</v>
      </c>
      <c r="AB38" s="22" t="s">
        <v>410</v>
      </c>
      <c r="AC38" s="24">
        <v>41657</v>
      </c>
      <c r="AD38" s="24">
        <v>41860</v>
      </c>
      <c r="AE38" s="22" t="s">
        <v>411</v>
      </c>
      <c r="AF38" s="22" t="s">
        <v>412</v>
      </c>
      <c r="AG38" s="22" t="s">
        <v>413</v>
      </c>
      <c r="AH38" s="22" t="s">
        <v>414</v>
      </c>
      <c r="AI38" s="22" t="s">
        <v>198</v>
      </c>
    </row>
    <row r="39" spans="1:35" x14ac:dyDescent="0.25">
      <c r="A39" s="25">
        <v>400</v>
      </c>
      <c r="B39" s="17">
        <v>0.52429999999999999</v>
      </c>
      <c r="K39" s="3"/>
      <c r="L39" s="20">
        <v>18</v>
      </c>
      <c r="M39">
        <v>998.59399999999994</v>
      </c>
      <c r="N39" s="3"/>
      <c r="Q39" s="3"/>
      <c r="R39" s="3"/>
      <c r="S39" s="3"/>
      <c r="V39" s="24">
        <v>18010</v>
      </c>
      <c r="W39" s="22" t="s">
        <v>189</v>
      </c>
      <c r="X39" s="22" t="s">
        <v>415</v>
      </c>
      <c r="Y39" s="22" t="s">
        <v>416</v>
      </c>
      <c r="Z39" s="24">
        <v>75578</v>
      </c>
      <c r="AA39" s="24">
        <v>75680</v>
      </c>
      <c r="AB39" s="22" t="s">
        <v>417</v>
      </c>
      <c r="AC39" s="24">
        <v>41639</v>
      </c>
      <c r="AD39" s="24">
        <v>41856</v>
      </c>
      <c r="AE39" s="22" t="s">
        <v>418</v>
      </c>
      <c r="AF39" s="22" t="s">
        <v>419</v>
      </c>
      <c r="AG39" s="22" t="s">
        <v>420</v>
      </c>
      <c r="AH39" s="22" t="s">
        <v>421</v>
      </c>
      <c r="AI39" s="22" t="s">
        <v>198</v>
      </c>
    </row>
    <row r="40" spans="1:35" x14ac:dyDescent="0.25">
      <c r="A40" s="2">
        <v>450</v>
      </c>
      <c r="B40" s="17">
        <v>0.48799999999999999</v>
      </c>
      <c r="K40" s="3"/>
      <c r="L40" s="20">
        <v>18.5</v>
      </c>
      <c r="M40">
        <v>998.5</v>
      </c>
      <c r="N40" s="3"/>
      <c r="Q40" s="3"/>
      <c r="R40" s="3"/>
      <c r="S40" s="3"/>
      <c r="V40" s="24">
        <v>18510</v>
      </c>
      <c r="W40" s="22" t="s">
        <v>189</v>
      </c>
      <c r="X40" s="22" t="s">
        <v>422</v>
      </c>
      <c r="Y40" s="22" t="s">
        <v>423</v>
      </c>
      <c r="Z40" s="24">
        <v>77671</v>
      </c>
      <c r="AA40" s="24">
        <v>77772</v>
      </c>
      <c r="AB40" s="22" t="s">
        <v>424</v>
      </c>
      <c r="AC40" s="24">
        <v>41621</v>
      </c>
      <c r="AD40" s="24">
        <v>41852</v>
      </c>
      <c r="AE40" s="22" t="s">
        <v>425</v>
      </c>
      <c r="AF40" s="22" t="s">
        <v>426</v>
      </c>
      <c r="AG40" s="22" t="s">
        <v>427</v>
      </c>
      <c r="AH40" s="22" t="s">
        <v>428</v>
      </c>
      <c r="AI40" s="22" t="s">
        <v>198</v>
      </c>
    </row>
    <row r="41" spans="1:35" x14ac:dyDescent="0.25">
      <c r="A41" s="2">
        <v>500</v>
      </c>
      <c r="B41" s="17">
        <v>0.45650000000000002</v>
      </c>
      <c r="K41" s="3"/>
      <c r="L41" s="20">
        <v>19</v>
      </c>
      <c r="M41">
        <v>998.404</v>
      </c>
      <c r="N41" s="3"/>
      <c r="Q41" s="3"/>
      <c r="R41" s="3"/>
      <c r="S41" s="3"/>
      <c r="V41" s="24">
        <v>19010</v>
      </c>
      <c r="W41" s="22" t="s">
        <v>189</v>
      </c>
      <c r="X41" s="22" t="s">
        <v>429</v>
      </c>
      <c r="Y41" s="22" t="s">
        <v>430</v>
      </c>
      <c r="Z41" s="24">
        <v>79763</v>
      </c>
      <c r="AA41" s="24">
        <v>79865</v>
      </c>
      <c r="AB41" s="22" t="s">
        <v>431</v>
      </c>
      <c r="AC41" s="24">
        <v>41603</v>
      </c>
      <c r="AD41" s="24">
        <v>41848</v>
      </c>
      <c r="AE41" s="22" t="s">
        <v>432</v>
      </c>
      <c r="AF41" s="22" t="s">
        <v>433</v>
      </c>
      <c r="AG41" s="22" t="s">
        <v>434</v>
      </c>
      <c r="AH41" s="22" t="s">
        <v>435</v>
      </c>
      <c r="AI41" s="22" t="s">
        <v>198</v>
      </c>
    </row>
    <row r="42" spans="1:35" x14ac:dyDescent="0.25">
      <c r="A42" s="25">
        <v>600</v>
      </c>
      <c r="B42" s="17">
        <v>0.40429999999999999</v>
      </c>
      <c r="K42" s="3"/>
      <c r="L42" s="20">
        <v>19.5</v>
      </c>
      <c r="M42">
        <v>998.30399999999997</v>
      </c>
      <c r="N42" s="3"/>
      <c r="Q42" s="3"/>
      <c r="R42" s="3"/>
      <c r="S42" s="3"/>
      <c r="V42" s="24">
        <v>19510</v>
      </c>
      <c r="W42" s="22" t="s">
        <v>189</v>
      </c>
      <c r="X42" s="22" t="s">
        <v>436</v>
      </c>
      <c r="Y42" s="22" t="s">
        <v>437</v>
      </c>
      <c r="Z42" s="24">
        <v>81856</v>
      </c>
      <c r="AA42" s="24">
        <v>81957</v>
      </c>
      <c r="AB42" s="22" t="s">
        <v>438</v>
      </c>
      <c r="AC42" s="24">
        <v>41585</v>
      </c>
      <c r="AD42" s="24">
        <v>41844</v>
      </c>
      <c r="AE42" s="22" t="s">
        <v>439</v>
      </c>
      <c r="AF42" s="22" t="s">
        <v>440</v>
      </c>
      <c r="AG42" s="22" t="s">
        <v>441</v>
      </c>
      <c r="AH42" s="22" t="s">
        <v>442</v>
      </c>
      <c r="AI42" s="22" t="s">
        <v>198</v>
      </c>
    </row>
    <row r="43" spans="1:35" x14ac:dyDescent="0.25">
      <c r="A43" s="25">
        <v>700</v>
      </c>
      <c r="B43" s="17">
        <v>0.36259999999999998</v>
      </c>
      <c r="K43" s="3"/>
      <c r="L43" s="20">
        <v>20</v>
      </c>
      <c r="M43">
        <v>998.202</v>
      </c>
      <c r="N43" s="3"/>
      <c r="Q43" s="3"/>
      <c r="R43" s="3"/>
      <c r="S43" s="3"/>
      <c r="V43" s="24">
        <v>20010</v>
      </c>
      <c r="W43" s="22" t="s">
        <v>189</v>
      </c>
      <c r="X43" s="22" t="s">
        <v>443</v>
      </c>
      <c r="Y43" s="22" t="s">
        <v>444</v>
      </c>
      <c r="Z43" s="24">
        <v>83948</v>
      </c>
      <c r="AA43" s="24">
        <v>84049</v>
      </c>
      <c r="AB43" s="22" t="s">
        <v>445</v>
      </c>
      <c r="AC43" s="24">
        <v>41566</v>
      </c>
      <c r="AD43" s="24">
        <v>41840</v>
      </c>
      <c r="AE43" s="22" t="s">
        <v>446</v>
      </c>
      <c r="AF43" s="22" t="s">
        <v>447</v>
      </c>
      <c r="AG43" s="22" t="s">
        <v>448</v>
      </c>
      <c r="AH43" s="22" t="s">
        <v>449</v>
      </c>
      <c r="AI43" s="22" t="s">
        <v>198</v>
      </c>
    </row>
    <row r="44" spans="1:35" x14ac:dyDescent="0.25">
      <c r="K44" s="3"/>
      <c r="L44" s="20">
        <v>20.5</v>
      </c>
      <c r="M44">
        <v>998.09800000000007</v>
      </c>
      <c r="N44" s="3"/>
      <c r="V44" s="24">
        <v>20510</v>
      </c>
      <c r="W44" s="22" t="s">
        <v>189</v>
      </c>
      <c r="X44" s="22" t="s">
        <v>450</v>
      </c>
      <c r="Y44" s="22" t="s">
        <v>451</v>
      </c>
      <c r="Z44" s="24">
        <v>86040</v>
      </c>
      <c r="AA44" s="24">
        <v>86141</v>
      </c>
      <c r="AB44" s="22" t="s">
        <v>452</v>
      </c>
      <c r="AC44" s="24">
        <v>41548</v>
      </c>
      <c r="AD44" s="24">
        <v>41837</v>
      </c>
      <c r="AE44" s="22" t="s">
        <v>453</v>
      </c>
      <c r="AF44" s="22" t="s">
        <v>454</v>
      </c>
      <c r="AG44" s="22" t="s">
        <v>455</v>
      </c>
      <c r="AH44" s="22" t="s">
        <v>456</v>
      </c>
      <c r="AI44" s="22" t="s">
        <v>198</v>
      </c>
    </row>
    <row r="45" spans="1:35" x14ac:dyDescent="0.25">
      <c r="K45" s="3"/>
      <c r="L45" s="20">
        <v>21</v>
      </c>
      <c r="M45">
        <v>997.99099999999999</v>
      </c>
      <c r="N45" s="3"/>
      <c r="V45" s="24">
        <v>21010</v>
      </c>
      <c r="W45" s="22" t="s">
        <v>189</v>
      </c>
      <c r="X45" s="22" t="s">
        <v>457</v>
      </c>
      <c r="Y45" s="22" t="s">
        <v>458</v>
      </c>
      <c r="Z45" s="24">
        <v>88131</v>
      </c>
      <c r="AA45" s="24">
        <v>88233</v>
      </c>
      <c r="AB45" s="22" t="s">
        <v>459</v>
      </c>
      <c r="AC45" s="24">
        <v>41529</v>
      </c>
      <c r="AD45" s="24">
        <v>41834</v>
      </c>
      <c r="AE45" s="22" t="s">
        <v>460</v>
      </c>
      <c r="AF45" s="22" t="s">
        <v>461</v>
      </c>
      <c r="AG45" s="22" t="s">
        <v>462</v>
      </c>
      <c r="AH45" s="22" t="s">
        <v>463</v>
      </c>
      <c r="AI45" s="22" t="s">
        <v>198</v>
      </c>
    </row>
    <row r="46" spans="1:35" x14ac:dyDescent="0.25">
      <c r="K46" s="3"/>
      <c r="L46" s="20">
        <v>21.5</v>
      </c>
      <c r="M46">
        <v>997.88099999999997</v>
      </c>
      <c r="N46" s="3"/>
      <c r="V46" s="24">
        <v>21510</v>
      </c>
      <c r="W46" s="22" t="s">
        <v>189</v>
      </c>
      <c r="X46" s="22" t="s">
        <v>464</v>
      </c>
      <c r="Y46" s="22" t="s">
        <v>465</v>
      </c>
      <c r="Z46" s="24">
        <v>90223</v>
      </c>
      <c r="AA46" s="24">
        <v>90324</v>
      </c>
      <c r="AB46" s="22" t="s">
        <v>466</v>
      </c>
      <c r="AC46" s="24">
        <v>41510</v>
      </c>
      <c r="AD46" s="24">
        <v>41831</v>
      </c>
      <c r="AE46" s="22" t="s">
        <v>467</v>
      </c>
      <c r="AF46" s="22" t="s">
        <v>468</v>
      </c>
      <c r="AG46" s="22" t="s">
        <v>469</v>
      </c>
      <c r="AH46" s="22" t="s">
        <v>470</v>
      </c>
      <c r="AI46" s="22" t="s">
        <v>198</v>
      </c>
    </row>
    <row r="47" spans="1:35" x14ac:dyDescent="0.25">
      <c r="K47" s="3"/>
      <c r="L47" s="20">
        <v>22</v>
      </c>
      <c r="M47">
        <v>997.76900000000001</v>
      </c>
      <c r="N47" s="3"/>
      <c r="V47" s="24">
        <v>22010</v>
      </c>
      <c r="W47" s="22" t="s">
        <v>189</v>
      </c>
      <c r="X47" s="22" t="s">
        <v>471</v>
      </c>
      <c r="Y47" s="22" t="s">
        <v>472</v>
      </c>
      <c r="Z47" s="24">
        <v>92314</v>
      </c>
      <c r="AA47" s="24">
        <v>92416</v>
      </c>
      <c r="AB47" s="22" t="s">
        <v>473</v>
      </c>
      <c r="AC47" s="24">
        <v>41492</v>
      </c>
      <c r="AD47" s="24">
        <v>41828</v>
      </c>
      <c r="AE47" s="22" t="s">
        <v>474</v>
      </c>
      <c r="AF47" s="22" t="s">
        <v>475</v>
      </c>
      <c r="AG47" s="22" t="s">
        <v>476</v>
      </c>
      <c r="AH47" s="22" t="s">
        <v>477</v>
      </c>
      <c r="AI47" s="22" t="s">
        <v>198</v>
      </c>
    </row>
    <row r="48" spans="1:35" x14ac:dyDescent="0.25">
      <c r="K48" s="3"/>
      <c r="L48" s="20">
        <v>22.5</v>
      </c>
      <c r="M48">
        <v>997.654</v>
      </c>
      <c r="N48" s="3"/>
      <c r="V48" s="24">
        <v>22510</v>
      </c>
      <c r="W48" s="22" t="s">
        <v>189</v>
      </c>
      <c r="X48" s="22" t="s">
        <v>478</v>
      </c>
      <c r="Y48" s="22" t="s">
        <v>479</v>
      </c>
      <c r="Z48" s="24">
        <v>94406</v>
      </c>
      <c r="AA48" s="24">
        <v>94507</v>
      </c>
      <c r="AB48" s="22" t="s">
        <v>480</v>
      </c>
      <c r="AC48" s="24">
        <v>41472</v>
      </c>
      <c r="AD48" s="24">
        <v>41825</v>
      </c>
      <c r="AE48" s="22" t="s">
        <v>481</v>
      </c>
      <c r="AF48" s="22" t="s">
        <v>482</v>
      </c>
      <c r="AG48" s="22" t="s">
        <v>483</v>
      </c>
      <c r="AH48" s="22" t="s">
        <v>484</v>
      </c>
      <c r="AI48" s="22" t="s">
        <v>198</v>
      </c>
    </row>
    <row r="49" spans="11:35" x14ac:dyDescent="0.25">
      <c r="K49" s="3"/>
      <c r="L49" s="20">
        <v>23</v>
      </c>
      <c r="M49">
        <v>997.53700000000003</v>
      </c>
      <c r="N49" s="3"/>
      <c r="V49" s="24">
        <v>23010</v>
      </c>
      <c r="W49" s="22" t="s">
        <v>189</v>
      </c>
      <c r="X49" s="22" t="s">
        <v>485</v>
      </c>
      <c r="Y49" s="22" t="s">
        <v>486</v>
      </c>
      <c r="Z49" s="24">
        <v>96497</v>
      </c>
      <c r="AA49" s="24">
        <v>96598</v>
      </c>
      <c r="AB49" s="22" t="s">
        <v>487</v>
      </c>
      <c r="AC49" s="24">
        <v>41453</v>
      </c>
      <c r="AD49" s="24">
        <v>41822</v>
      </c>
      <c r="AE49" s="22" t="s">
        <v>488</v>
      </c>
      <c r="AF49" s="22" t="s">
        <v>489</v>
      </c>
      <c r="AG49" s="22" t="s">
        <v>490</v>
      </c>
      <c r="AH49" s="22" t="s">
        <v>491</v>
      </c>
      <c r="AI49" s="22" t="s">
        <v>198</v>
      </c>
    </row>
    <row r="50" spans="11:35" x14ac:dyDescent="0.25">
      <c r="K50" s="3"/>
      <c r="L50" s="20">
        <v>23.5</v>
      </c>
      <c r="M50">
        <v>997.41700000000003</v>
      </c>
      <c r="N50" s="3"/>
      <c r="V50" s="24">
        <v>23510</v>
      </c>
      <c r="W50" s="22" t="s">
        <v>189</v>
      </c>
      <c r="X50" s="22" t="s">
        <v>492</v>
      </c>
      <c r="Y50" s="22" t="s">
        <v>493</v>
      </c>
      <c r="Z50" s="24">
        <v>98588</v>
      </c>
      <c r="AA50" s="24">
        <v>98689</v>
      </c>
      <c r="AB50" s="22" t="s">
        <v>494</v>
      </c>
      <c r="AC50" s="24">
        <v>41434</v>
      </c>
      <c r="AD50" s="24">
        <v>41820</v>
      </c>
      <c r="AE50" s="22" t="s">
        <v>495</v>
      </c>
      <c r="AF50" s="22" t="s">
        <v>496</v>
      </c>
      <c r="AG50" s="22" t="s">
        <v>497</v>
      </c>
      <c r="AH50" s="22" t="s">
        <v>498</v>
      </c>
      <c r="AI50" s="22" t="s">
        <v>198</v>
      </c>
    </row>
    <row r="51" spans="11:35" x14ac:dyDescent="0.25">
      <c r="K51" s="3"/>
      <c r="L51" s="20">
        <v>24</v>
      </c>
      <c r="M51">
        <v>997.29500000000007</v>
      </c>
      <c r="N51" s="3"/>
      <c r="V51" s="24">
        <v>24010</v>
      </c>
      <c r="W51" s="22" t="s">
        <v>189</v>
      </c>
      <c r="X51" s="22" t="s">
        <v>499</v>
      </c>
      <c r="Y51" s="22" t="s">
        <v>500</v>
      </c>
      <c r="Z51" s="22" t="s">
        <v>501</v>
      </c>
      <c r="AA51" s="22" t="s">
        <v>502</v>
      </c>
      <c r="AB51" s="22" t="s">
        <v>503</v>
      </c>
      <c r="AC51" s="24">
        <v>41415</v>
      </c>
      <c r="AD51" s="24">
        <v>41817</v>
      </c>
      <c r="AE51" s="22" t="s">
        <v>261</v>
      </c>
      <c r="AF51" s="22" t="s">
        <v>504</v>
      </c>
      <c r="AG51" s="22" t="s">
        <v>505</v>
      </c>
      <c r="AH51" s="22" t="s">
        <v>506</v>
      </c>
      <c r="AI51" s="22" t="s">
        <v>198</v>
      </c>
    </row>
    <row r="52" spans="11:35" x14ac:dyDescent="0.25">
      <c r="K52" s="3"/>
      <c r="L52" s="20">
        <v>24.5</v>
      </c>
      <c r="M52">
        <v>997.17</v>
      </c>
      <c r="N52" s="3"/>
      <c r="V52" s="24">
        <v>24510</v>
      </c>
      <c r="W52" s="22" t="s">
        <v>189</v>
      </c>
      <c r="X52" s="22" t="s">
        <v>507</v>
      </c>
      <c r="Y52" s="22" t="s">
        <v>508</v>
      </c>
      <c r="Z52" s="22" t="s">
        <v>509</v>
      </c>
      <c r="AA52" s="22" t="s">
        <v>510</v>
      </c>
      <c r="AB52" s="22" t="s">
        <v>511</v>
      </c>
      <c r="AC52" s="24">
        <v>41395</v>
      </c>
      <c r="AD52" s="24">
        <v>41815</v>
      </c>
      <c r="AE52" s="22" t="s">
        <v>512</v>
      </c>
      <c r="AF52" s="22" t="s">
        <v>513</v>
      </c>
      <c r="AG52" s="22" t="s">
        <v>514</v>
      </c>
      <c r="AH52" s="22" t="s">
        <v>515</v>
      </c>
      <c r="AI52" s="22" t="s">
        <v>198</v>
      </c>
    </row>
    <row r="53" spans="11:35" x14ac:dyDescent="0.25">
      <c r="K53" s="3"/>
      <c r="L53" s="20">
        <v>25</v>
      </c>
      <c r="M53">
        <v>997.04300000000001</v>
      </c>
      <c r="N53" s="3"/>
      <c r="V53" s="24">
        <v>25010</v>
      </c>
      <c r="W53" s="22" t="s">
        <v>189</v>
      </c>
      <c r="X53" s="22" t="s">
        <v>516</v>
      </c>
      <c r="Y53" s="22" t="s">
        <v>517</v>
      </c>
      <c r="Z53" s="22" t="s">
        <v>518</v>
      </c>
      <c r="AA53" s="22" t="s">
        <v>519</v>
      </c>
      <c r="AB53" s="22" t="s">
        <v>520</v>
      </c>
      <c r="AC53" s="24">
        <v>41375</v>
      </c>
      <c r="AD53" s="24">
        <v>41813</v>
      </c>
      <c r="AE53" s="22" t="s">
        <v>521</v>
      </c>
      <c r="AF53" s="22" t="s">
        <v>522</v>
      </c>
      <c r="AG53" s="22" t="s">
        <v>523</v>
      </c>
      <c r="AH53" s="22" t="s">
        <v>524</v>
      </c>
      <c r="AI53" s="22" t="s">
        <v>198</v>
      </c>
    </row>
    <row r="54" spans="11:35" x14ac:dyDescent="0.25">
      <c r="K54" s="3"/>
      <c r="L54" s="20">
        <v>25.5</v>
      </c>
      <c r="M54">
        <v>996.91300000000001</v>
      </c>
      <c r="N54" s="3"/>
      <c r="V54" s="24">
        <v>25510</v>
      </c>
      <c r="W54" s="22" t="s">
        <v>189</v>
      </c>
      <c r="X54" s="22" t="s">
        <v>525</v>
      </c>
      <c r="Y54" s="22" t="s">
        <v>526</v>
      </c>
      <c r="Z54" s="22" t="s">
        <v>527</v>
      </c>
      <c r="AA54" s="22" t="s">
        <v>528</v>
      </c>
      <c r="AB54" s="22" t="s">
        <v>529</v>
      </c>
      <c r="AC54" s="24">
        <v>41355</v>
      </c>
      <c r="AD54" s="24">
        <v>41811</v>
      </c>
      <c r="AE54" s="22" t="s">
        <v>530</v>
      </c>
      <c r="AF54" s="22" t="s">
        <v>531</v>
      </c>
      <c r="AG54" s="22" t="s">
        <v>532</v>
      </c>
      <c r="AH54" s="22" t="s">
        <v>533</v>
      </c>
      <c r="AI54" s="22" t="s">
        <v>198</v>
      </c>
    </row>
    <row r="55" spans="11:35" x14ac:dyDescent="0.25">
      <c r="K55" s="3"/>
      <c r="L55" s="20">
        <v>26</v>
      </c>
      <c r="M55">
        <v>996.78199999999993</v>
      </c>
      <c r="N55" s="3"/>
      <c r="V55" s="24">
        <v>26010</v>
      </c>
      <c r="W55" s="22" t="s">
        <v>189</v>
      </c>
      <c r="X55" s="22" t="s">
        <v>534</v>
      </c>
      <c r="Y55" s="22" t="s">
        <v>535</v>
      </c>
      <c r="Z55" s="22" t="s">
        <v>536</v>
      </c>
      <c r="AA55" s="22" t="s">
        <v>537</v>
      </c>
      <c r="AB55" s="22" t="s">
        <v>538</v>
      </c>
      <c r="AC55" s="24">
        <v>41336</v>
      </c>
      <c r="AD55" s="24">
        <v>41809</v>
      </c>
      <c r="AE55" s="22" t="s">
        <v>539</v>
      </c>
      <c r="AF55" s="22" t="s">
        <v>540</v>
      </c>
      <c r="AG55" s="22" t="s">
        <v>541</v>
      </c>
      <c r="AH55" s="22" t="s">
        <v>542</v>
      </c>
      <c r="AI55" s="22" t="s">
        <v>198</v>
      </c>
    </row>
    <row r="56" spans="11:35" x14ac:dyDescent="0.25">
      <c r="K56" s="3"/>
      <c r="L56" s="20">
        <v>26.5</v>
      </c>
      <c r="M56">
        <v>996.64800000000002</v>
      </c>
      <c r="N56" s="3"/>
      <c r="V56" s="24">
        <v>26510</v>
      </c>
      <c r="W56" s="22" t="s">
        <v>189</v>
      </c>
      <c r="X56" s="22" t="s">
        <v>543</v>
      </c>
      <c r="Y56" s="22" t="s">
        <v>544</v>
      </c>
      <c r="Z56" s="22" t="s">
        <v>545</v>
      </c>
      <c r="AA56" s="22" t="s">
        <v>546</v>
      </c>
      <c r="AB56" s="22" t="s">
        <v>547</v>
      </c>
      <c r="AC56" s="24">
        <v>41315</v>
      </c>
      <c r="AD56" s="24">
        <v>41807</v>
      </c>
      <c r="AE56" s="22" t="s">
        <v>548</v>
      </c>
      <c r="AF56" s="22" t="s">
        <v>549</v>
      </c>
      <c r="AG56" s="22" t="s">
        <v>550</v>
      </c>
      <c r="AH56" s="22" t="s">
        <v>551</v>
      </c>
      <c r="AI56" s="22" t="s">
        <v>198</v>
      </c>
    </row>
    <row r="57" spans="11:35" x14ac:dyDescent="0.25">
      <c r="K57" s="3"/>
      <c r="L57" s="20">
        <v>27</v>
      </c>
      <c r="M57">
        <v>996.51100000000008</v>
      </c>
      <c r="N57" s="3"/>
      <c r="V57" s="24">
        <v>27010</v>
      </c>
      <c r="W57" s="22" t="s">
        <v>189</v>
      </c>
      <c r="X57" s="22" t="s">
        <v>552</v>
      </c>
      <c r="Y57" s="22" t="s">
        <v>553</v>
      </c>
      <c r="Z57" s="22" t="s">
        <v>554</v>
      </c>
      <c r="AA57" s="22" t="s">
        <v>555</v>
      </c>
      <c r="AB57" s="22" t="s">
        <v>556</v>
      </c>
      <c r="AC57" s="24">
        <v>41295</v>
      </c>
      <c r="AD57" s="24">
        <v>41806</v>
      </c>
      <c r="AE57" s="22" t="s">
        <v>557</v>
      </c>
      <c r="AF57" s="22" t="s">
        <v>558</v>
      </c>
      <c r="AG57" s="22" t="s">
        <v>559</v>
      </c>
      <c r="AH57" s="22" t="s">
        <v>560</v>
      </c>
      <c r="AI57" s="22" t="s">
        <v>198</v>
      </c>
    </row>
    <row r="58" spans="11:35" x14ac:dyDescent="0.25">
      <c r="K58" s="3"/>
      <c r="L58" s="20">
        <v>27.5</v>
      </c>
      <c r="M58">
        <v>996.37200000000007</v>
      </c>
      <c r="N58" s="3"/>
      <c r="V58" s="24">
        <v>27510</v>
      </c>
      <c r="W58" s="22" t="s">
        <v>189</v>
      </c>
      <c r="X58" s="22" t="s">
        <v>561</v>
      </c>
      <c r="Y58" s="22" t="s">
        <v>562</v>
      </c>
      <c r="Z58" s="22" t="s">
        <v>563</v>
      </c>
      <c r="AA58" s="22" t="s">
        <v>564</v>
      </c>
      <c r="AB58" s="22" t="s">
        <v>565</v>
      </c>
      <c r="AC58" s="24">
        <v>41275</v>
      </c>
      <c r="AD58" s="24">
        <v>41804</v>
      </c>
      <c r="AE58" s="22" t="s">
        <v>566</v>
      </c>
      <c r="AF58" s="22" t="s">
        <v>567</v>
      </c>
      <c r="AG58" s="22" t="s">
        <v>568</v>
      </c>
      <c r="AH58" s="22" t="s">
        <v>569</v>
      </c>
      <c r="AI58" s="22" t="s">
        <v>198</v>
      </c>
    </row>
    <row r="59" spans="11:35" x14ac:dyDescent="0.25">
      <c r="K59" s="3"/>
      <c r="L59" s="20">
        <v>28</v>
      </c>
      <c r="M59">
        <v>996.23099999999999</v>
      </c>
      <c r="N59" s="3"/>
      <c r="V59" s="24">
        <v>28010</v>
      </c>
      <c r="W59" s="22" t="s">
        <v>189</v>
      </c>
      <c r="X59" s="22" t="s">
        <v>570</v>
      </c>
      <c r="Y59" s="22" t="s">
        <v>571</v>
      </c>
      <c r="Z59" s="22" t="s">
        <v>572</v>
      </c>
      <c r="AA59" s="22" t="s">
        <v>573</v>
      </c>
      <c r="AB59" s="22" t="s">
        <v>574</v>
      </c>
      <c r="AC59" s="24">
        <v>41255</v>
      </c>
      <c r="AD59" s="24">
        <v>41803</v>
      </c>
      <c r="AE59" s="22" t="s">
        <v>575</v>
      </c>
      <c r="AF59" s="22" t="s">
        <v>576</v>
      </c>
      <c r="AG59" s="22" t="s">
        <v>577</v>
      </c>
      <c r="AH59" s="22" t="s">
        <v>578</v>
      </c>
      <c r="AI59" s="22" t="s">
        <v>198</v>
      </c>
    </row>
    <row r="60" spans="11:35" x14ac:dyDescent="0.25">
      <c r="K60" s="3"/>
      <c r="L60" s="20">
        <v>28.5</v>
      </c>
      <c r="M60">
        <v>996.08799999999997</v>
      </c>
      <c r="N60" s="3"/>
      <c r="V60" s="24">
        <v>28510</v>
      </c>
      <c r="W60" s="22" t="s">
        <v>189</v>
      </c>
      <c r="X60" s="22" t="s">
        <v>579</v>
      </c>
      <c r="Y60" s="22" t="s">
        <v>580</v>
      </c>
      <c r="Z60" s="22" t="s">
        <v>581</v>
      </c>
      <c r="AA60" s="22" t="s">
        <v>582</v>
      </c>
      <c r="AB60" s="22" t="s">
        <v>583</v>
      </c>
      <c r="AC60" s="24">
        <v>41234</v>
      </c>
      <c r="AD60" s="24">
        <v>41802</v>
      </c>
      <c r="AE60" s="22" t="s">
        <v>584</v>
      </c>
      <c r="AF60" s="22" t="s">
        <v>585</v>
      </c>
      <c r="AG60" s="22" t="s">
        <v>586</v>
      </c>
      <c r="AH60" s="22" t="s">
        <v>587</v>
      </c>
      <c r="AI60" s="22" t="s">
        <v>198</v>
      </c>
    </row>
    <row r="61" spans="11:35" x14ac:dyDescent="0.25">
      <c r="K61" s="3"/>
      <c r="L61" s="20">
        <v>29</v>
      </c>
      <c r="M61">
        <v>995.94299999999998</v>
      </c>
      <c r="N61" s="3"/>
      <c r="V61" s="24">
        <v>29010</v>
      </c>
      <c r="W61" s="22" t="s">
        <v>189</v>
      </c>
      <c r="X61" s="22" t="s">
        <v>588</v>
      </c>
      <c r="Y61" s="22" t="s">
        <v>589</v>
      </c>
      <c r="Z61" s="22" t="s">
        <v>590</v>
      </c>
      <c r="AA61" s="22" t="s">
        <v>591</v>
      </c>
      <c r="AB61" s="22" t="s">
        <v>592</v>
      </c>
      <c r="AC61" s="24">
        <v>41213</v>
      </c>
      <c r="AD61" s="24">
        <v>41800</v>
      </c>
      <c r="AE61" s="22" t="s">
        <v>593</v>
      </c>
      <c r="AF61" s="22" t="s">
        <v>594</v>
      </c>
      <c r="AG61" s="22" t="s">
        <v>595</v>
      </c>
      <c r="AH61" s="22" t="s">
        <v>596</v>
      </c>
      <c r="AI61" s="22" t="s">
        <v>198</v>
      </c>
    </row>
    <row r="62" spans="11:35" x14ac:dyDescent="0.25">
      <c r="K62" s="3"/>
      <c r="L62" s="20">
        <v>29.5</v>
      </c>
      <c r="M62">
        <v>995.79499999999996</v>
      </c>
      <c r="N62" s="3"/>
      <c r="V62" s="24">
        <v>29510</v>
      </c>
      <c r="W62" s="22" t="s">
        <v>189</v>
      </c>
      <c r="X62" s="22" t="s">
        <v>597</v>
      </c>
      <c r="Y62" s="22" t="s">
        <v>598</v>
      </c>
      <c r="Z62" s="22" t="s">
        <v>599</v>
      </c>
      <c r="AA62" s="22" t="s">
        <v>600</v>
      </c>
      <c r="AB62" s="22" t="s">
        <v>601</v>
      </c>
      <c r="AC62" s="24">
        <v>41193</v>
      </c>
      <c r="AD62" s="24">
        <v>41799</v>
      </c>
      <c r="AE62" s="22" t="s">
        <v>602</v>
      </c>
      <c r="AF62" s="22" t="s">
        <v>603</v>
      </c>
      <c r="AG62" s="22" t="s">
        <v>604</v>
      </c>
      <c r="AH62" s="22" t="s">
        <v>605</v>
      </c>
      <c r="AI62" s="22" t="s">
        <v>198</v>
      </c>
    </row>
    <row r="63" spans="11:35" x14ac:dyDescent="0.25">
      <c r="K63" s="3"/>
      <c r="L63" s="20">
        <v>30</v>
      </c>
      <c r="M63">
        <v>995.64499999999998</v>
      </c>
      <c r="N63" s="3"/>
      <c r="V63" s="24">
        <v>30010</v>
      </c>
      <c r="W63" s="22" t="s">
        <v>189</v>
      </c>
      <c r="X63" s="22" t="s">
        <v>606</v>
      </c>
      <c r="Y63" s="22" t="s">
        <v>607</v>
      </c>
      <c r="Z63" s="22" t="s">
        <v>608</v>
      </c>
      <c r="AA63" s="22" t="s">
        <v>609</v>
      </c>
      <c r="AB63" s="22" t="s">
        <v>610</v>
      </c>
      <c r="AC63" s="24">
        <v>41172</v>
      </c>
      <c r="AD63" s="24">
        <v>41798</v>
      </c>
      <c r="AE63" s="22" t="s">
        <v>611</v>
      </c>
      <c r="AF63" s="22" t="s">
        <v>612</v>
      </c>
      <c r="AG63" s="22" t="s">
        <v>613</v>
      </c>
      <c r="AH63" s="22" t="s">
        <v>614</v>
      </c>
      <c r="AI63" s="22" t="s">
        <v>198</v>
      </c>
    </row>
    <row r="64" spans="11:35" x14ac:dyDescent="0.25">
      <c r="K64" s="3"/>
      <c r="L64" s="20">
        <v>30.5</v>
      </c>
      <c r="M64">
        <v>995.49299999999994</v>
      </c>
      <c r="N64" s="3"/>
      <c r="V64" s="24">
        <v>30510</v>
      </c>
      <c r="W64" s="22" t="s">
        <v>189</v>
      </c>
      <c r="X64" s="22" t="s">
        <v>615</v>
      </c>
      <c r="Y64" s="22" t="s">
        <v>616</v>
      </c>
      <c r="Z64" s="22" t="s">
        <v>617</v>
      </c>
      <c r="AA64" s="22" t="s">
        <v>618</v>
      </c>
      <c r="AB64" s="22" t="s">
        <v>619</v>
      </c>
      <c r="AC64" s="24">
        <v>41151</v>
      </c>
      <c r="AD64" s="24">
        <v>41797</v>
      </c>
      <c r="AE64" s="22" t="s">
        <v>620</v>
      </c>
      <c r="AF64" s="22" t="s">
        <v>621</v>
      </c>
      <c r="AG64" s="22" t="s">
        <v>622</v>
      </c>
      <c r="AH64" s="22" t="s">
        <v>623</v>
      </c>
      <c r="AI64" s="22" t="s">
        <v>198</v>
      </c>
    </row>
    <row r="65" spans="1:35" x14ac:dyDescent="0.25">
      <c r="K65" s="3"/>
      <c r="L65" s="20">
        <v>31</v>
      </c>
      <c r="M65">
        <v>995.33899999999994</v>
      </c>
      <c r="N65" s="3"/>
      <c r="V65" s="24">
        <v>31010</v>
      </c>
      <c r="W65" s="22" t="s">
        <v>189</v>
      </c>
      <c r="X65" s="22" t="s">
        <v>624</v>
      </c>
      <c r="Y65" s="22" t="s">
        <v>625</v>
      </c>
      <c r="Z65" s="22" t="s">
        <v>626</v>
      </c>
      <c r="AA65" s="22" t="s">
        <v>627</v>
      </c>
      <c r="AB65" s="22" t="s">
        <v>628</v>
      </c>
      <c r="AC65" s="24">
        <v>41130</v>
      </c>
      <c r="AD65" s="24">
        <v>41796</v>
      </c>
      <c r="AE65" s="22" t="s">
        <v>629</v>
      </c>
      <c r="AF65" s="22" t="s">
        <v>630</v>
      </c>
      <c r="AG65" s="22" t="s">
        <v>631</v>
      </c>
      <c r="AH65" s="22" t="s">
        <v>632</v>
      </c>
      <c r="AI65" s="22" t="s">
        <v>198</v>
      </c>
    </row>
    <row r="66" spans="1:35" x14ac:dyDescent="0.25">
      <c r="K66" s="3"/>
      <c r="L66" s="20">
        <v>31.5</v>
      </c>
      <c r="M66">
        <v>995.18299999999999</v>
      </c>
      <c r="N66" s="3"/>
      <c r="V66" s="24">
        <v>31510</v>
      </c>
      <c r="W66" s="22" t="s">
        <v>189</v>
      </c>
      <c r="X66" s="22" t="s">
        <v>633</v>
      </c>
      <c r="Y66" s="22" t="s">
        <v>634</v>
      </c>
      <c r="Z66" s="22" t="s">
        <v>635</v>
      </c>
      <c r="AA66" s="22" t="s">
        <v>636</v>
      </c>
      <c r="AB66" s="22" t="s">
        <v>637</v>
      </c>
      <c r="AC66" s="24">
        <v>41109</v>
      </c>
      <c r="AD66" s="24">
        <v>41796</v>
      </c>
      <c r="AE66" s="22" t="s">
        <v>638</v>
      </c>
      <c r="AF66" s="22" t="s">
        <v>639</v>
      </c>
      <c r="AG66" s="22" t="s">
        <v>640</v>
      </c>
      <c r="AH66" s="22" t="s">
        <v>641</v>
      </c>
      <c r="AI66" s="22" t="s">
        <v>198</v>
      </c>
    </row>
    <row r="67" spans="1:35" x14ac:dyDescent="0.25">
      <c r="K67" s="3"/>
      <c r="L67" s="20">
        <v>32</v>
      </c>
      <c r="M67">
        <v>995.024</v>
      </c>
      <c r="N67" s="3"/>
      <c r="V67" s="24">
        <v>32010</v>
      </c>
      <c r="W67" s="22" t="s">
        <v>189</v>
      </c>
      <c r="X67" s="22" t="s">
        <v>642</v>
      </c>
      <c r="Y67" s="22" t="s">
        <v>643</v>
      </c>
      <c r="Z67" s="22" t="s">
        <v>644</v>
      </c>
      <c r="AA67" s="22" t="s">
        <v>645</v>
      </c>
      <c r="AB67" s="22" t="s">
        <v>646</v>
      </c>
      <c r="AC67" s="24">
        <v>41087</v>
      </c>
      <c r="AD67" s="24">
        <v>41795</v>
      </c>
      <c r="AE67" s="22" t="s">
        <v>647</v>
      </c>
      <c r="AF67" s="22" t="s">
        <v>648</v>
      </c>
      <c r="AG67" s="22" t="s">
        <v>649</v>
      </c>
      <c r="AH67" s="22" t="s">
        <v>650</v>
      </c>
      <c r="AI67" s="22" t="s">
        <v>198</v>
      </c>
    </row>
    <row r="68" spans="1:35" x14ac:dyDescent="0.25">
      <c r="K68" s="3"/>
      <c r="L68" s="20">
        <v>32.5</v>
      </c>
      <c r="M68">
        <v>994.86399999999992</v>
      </c>
      <c r="N68" s="3"/>
      <c r="V68" s="24">
        <v>32510</v>
      </c>
      <c r="W68" s="22" t="s">
        <v>189</v>
      </c>
      <c r="X68" s="22" t="s">
        <v>651</v>
      </c>
      <c r="Y68" s="22" t="s">
        <v>652</v>
      </c>
      <c r="Z68" s="22" t="s">
        <v>653</v>
      </c>
      <c r="AA68" s="22" t="s">
        <v>654</v>
      </c>
      <c r="AB68" s="22" t="s">
        <v>655</v>
      </c>
      <c r="AC68" s="24">
        <v>41066</v>
      </c>
      <c r="AD68" s="24">
        <v>41794</v>
      </c>
      <c r="AE68" s="22" t="s">
        <v>656</v>
      </c>
      <c r="AF68" s="22" t="s">
        <v>657</v>
      </c>
      <c r="AG68" s="22" t="s">
        <v>658</v>
      </c>
      <c r="AH68" s="22" t="s">
        <v>659</v>
      </c>
      <c r="AI68" s="22" t="s">
        <v>198</v>
      </c>
    </row>
    <row r="69" spans="1:35" x14ac:dyDescent="0.25">
      <c r="K69" s="3"/>
      <c r="L69" s="20">
        <v>33</v>
      </c>
      <c r="M69">
        <v>994.70099999999991</v>
      </c>
      <c r="N69" s="3"/>
      <c r="V69" s="24">
        <v>33010</v>
      </c>
      <c r="W69" s="22" t="s">
        <v>189</v>
      </c>
      <c r="X69" s="22" t="s">
        <v>660</v>
      </c>
      <c r="Y69" s="22" t="s">
        <v>661</v>
      </c>
      <c r="Z69" s="22" t="s">
        <v>662</v>
      </c>
      <c r="AA69" s="22" t="s">
        <v>663</v>
      </c>
      <c r="AB69" s="22" t="s">
        <v>664</v>
      </c>
      <c r="AC69" s="24">
        <v>41044</v>
      </c>
      <c r="AD69" s="24">
        <v>41794</v>
      </c>
      <c r="AE69" s="22" t="s">
        <v>665</v>
      </c>
      <c r="AF69" s="22" t="s">
        <v>666</v>
      </c>
      <c r="AG69" s="22" t="s">
        <v>667</v>
      </c>
      <c r="AH69" s="22" t="s">
        <v>668</v>
      </c>
      <c r="AI69" s="22" t="s">
        <v>198</v>
      </c>
    </row>
    <row r="70" spans="1:35" x14ac:dyDescent="0.25">
      <c r="K70" s="3"/>
      <c r="L70" s="20">
        <v>33.5</v>
      </c>
      <c r="M70">
        <v>994.53599999999994</v>
      </c>
      <c r="N70" s="3"/>
      <c r="V70" s="24">
        <v>33510</v>
      </c>
      <c r="W70" s="22" t="s">
        <v>189</v>
      </c>
      <c r="X70" s="22" t="s">
        <v>669</v>
      </c>
      <c r="Y70" s="22" t="s">
        <v>670</v>
      </c>
      <c r="Z70" s="22" t="s">
        <v>671</v>
      </c>
      <c r="AA70" s="22" t="s">
        <v>672</v>
      </c>
      <c r="AB70" s="22" t="s">
        <v>673</v>
      </c>
      <c r="AC70" s="24">
        <v>41023</v>
      </c>
      <c r="AD70" s="24">
        <v>41793</v>
      </c>
      <c r="AE70" s="22" t="s">
        <v>674</v>
      </c>
      <c r="AF70" s="22" t="s">
        <v>675</v>
      </c>
      <c r="AG70" s="22" t="s">
        <v>676</v>
      </c>
      <c r="AH70" s="22" t="s">
        <v>677</v>
      </c>
      <c r="AI70" s="22" t="s">
        <v>198</v>
      </c>
    </row>
    <row r="71" spans="1:35" x14ac:dyDescent="0.25">
      <c r="K71" s="3"/>
      <c r="L71" s="20">
        <v>34</v>
      </c>
      <c r="M71">
        <v>994.37</v>
      </c>
      <c r="N71" s="3"/>
      <c r="V71" s="24">
        <v>34010</v>
      </c>
      <c r="W71" s="22" t="s">
        <v>189</v>
      </c>
      <c r="X71" s="22" t="s">
        <v>678</v>
      </c>
      <c r="Y71" s="22" t="s">
        <v>679</v>
      </c>
      <c r="Z71" s="22" t="s">
        <v>680</v>
      </c>
      <c r="AA71" s="22" t="s">
        <v>681</v>
      </c>
      <c r="AB71" s="22" t="s">
        <v>682</v>
      </c>
      <c r="AC71" s="24">
        <v>41001</v>
      </c>
      <c r="AD71" s="24">
        <v>41793</v>
      </c>
      <c r="AE71" s="22" t="s">
        <v>683</v>
      </c>
      <c r="AF71" s="22" t="s">
        <v>684</v>
      </c>
      <c r="AG71" s="22" t="s">
        <v>685</v>
      </c>
      <c r="AH71" s="22" t="s">
        <v>686</v>
      </c>
      <c r="AI71" s="22" t="s">
        <v>198</v>
      </c>
    </row>
    <row r="72" spans="1:35" x14ac:dyDescent="0.25">
      <c r="K72" s="3"/>
      <c r="L72" s="20">
        <v>34.5</v>
      </c>
      <c r="M72">
        <v>994.20100000000002</v>
      </c>
      <c r="N72" s="3"/>
      <c r="V72" s="24">
        <v>34510</v>
      </c>
      <c r="W72" s="22" t="s">
        <v>189</v>
      </c>
      <c r="X72" s="22" t="s">
        <v>687</v>
      </c>
      <c r="Y72" s="22" t="s">
        <v>688</v>
      </c>
      <c r="Z72" s="22" t="s">
        <v>689</v>
      </c>
      <c r="AA72" s="22" t="s">
        <v>690</v>
      </c>
      <c r="AB72" s="22" t="s">
        <v>691</v>
      </c>
      <c r="AC72" s="24">
        <v>40979</v>
      </c>
      <c r="AD72" s="24">
        <v>41793</v>
      </c>
      <c r="AE72" s="22" t="s">
        <v>692</v>
      </c>
      <c r="AF72" s="22" t="s">
        <v>693</v>
      </c>
      <c r="AG72" s="22" t="s">
        <v>694</v>
      </c>
      <c r="AH72" s="22" t="s">
        <v>695</v>
      </c>
      <c r="AI72" s="22" t="s">
        <v>198</v>
      </c>
    </row>
    <row r="73" spans="1:35" x14ac:dyDescent="0.25">
      <c r="K73" s="3"/>
      <c r="L73" s="20">
        <v>35</v>
      </c>
      <c r="M73">
        <v>994.03</v>
      </c>
      <c r="N73" s="3"/>
      <c r="V73" s="24">
        <v>35010</v>
      </c>
      <c r="W73" s="22" t="s">
        <v>189</v>
      </c>
      <c r="X73" s="22" t="s">
        <v>696</v>
      </c>
      <c r="Y73" s="22" t="s">
        <v>697</v>
      </c>
      <c r="Z73" s="22" t="s">
        <v>698</v>
      </c>
      <c r="AA73" s="22" t="s">
        <v>699</v>
      </c>
      <c r="AB73" s="22" t="s">
        <v>700</v>
      </c>
      <c r="AC73" s="24">
        <v>40958</v>
      </c>
      <c r="AD73" s="24">
        <v>41793</v>
      </c>
      <c r="AE73" s="22" t="s">
        <v>701</v>
      </c>
      <c r="AF73" s="22" t="s">
        <v>702</v>
      </c>
      <c r="AG73" s="22" t="s">
        <v>703</v>
      </c>
      <c r="AH73" s="22" t="s">
        <v>704</v>
      </c>
      <c r="AI73" s="22" t="s">
        <v>198</v>
      </c>
    </row>
    <row r="74" spans="1:35" x14ac:dyDescent="0.25">
      <c r="K74" s="3"/>
      <c r="L74" s="20">
        <v>35.5</v>
      </c>
      <c r="M74">
        <v>993.85699999999997</v>
      </c>
      <c r="N74" s="3"/>
      <c r="V74" s="24">
        <v>35510</v>
      </c>
      <c r="W74" s="22" t="s">
        <v>189</v>
      </c>
      <c r="X74" s="22" t="s">
        <v>705</v>
      </c>
      <c r="Y74" s="22" t="s">
        <v>706</v>
      </c>
      <c r="Z74" s="22" t="s">
        <v>707</v>
      </c>
      <c r="AA74" s="22" t="s">
        <v>708</v>
      </c>
      <c r="AB74" s="22" t="s">
        <v>709</v>
      </c>
      <c r="AC74" s="24">
        <v>40936</v>
      </c>
      <c r="AD74" s="24">
        <v>41792</v>
      </c>
      <c r="AE74" s="22" t="s">
        <v>710</v>
      </c>
      <c r="AF74" s="22" t="s">
        <v>711</v>
      </c>
      <c r="AG74" s="22" t="s">
        <v>712</v>
      </c>
      <c r="AH74" s="22" t="s">
        <v>713</v>
      </c>
      <c r="AI74" s="22" t="s">
        <v>198</v>
      </c>
    </row>
    <row r="75" spans="1:35" x14ac:dyDescent="0.25">
      <c r="K75" s="3"/>
      <c r="L75" s="20">
        <v>36</v>
      </c>
      <c r="M75">
        <v>993.85699999999997</v>
      </c>
      <c r="N75" s="3"/>
      <c r="V75" s="24">
        <v>36010</v>
      </c>
      <c r="W75" s="22" t="s">
        <v>189</v>
      </c>
      <c r="X75" s="22" t="s">
        <v>714</v>
      </c>
      <c r="Y75" s="22" t="s">
        <v>715</v>
      </c>
      <c r="Z75" s="22" t="s">
        <v>716</v>
      </c>
      <c r="AA75" s="22" t="s">
        <v>717</v>
      </c>
      <c r="AB75" s="22" t="s">
        <v>718</v>
      </c>
      <c r="AC75" s="24">
        <v>40913</v>
      </c>
      <c r="AD75" s="24">
        <v>41792</v>
      </c>
      <c r="AE75" s="22" t="s">
        <v>719</v>
      </c>
      <c r="AF75" s="22" t="s">
        <v>720</v>
      </c>
      <c r="AG75" s="22" t="s">
        <v>721</v>
      </c>
      <c r="AH75" s="22" t="s">
        <v>722</v>
      </c>
      <c r="AI75" s="22" t="s">
        <v>198</v>
      </c>
    </row>
    <row r="76" spans="1:35" x14ac:dyDescent="0.25">
      <c r="K76" s="3"/>
      <c r="L76" s="20">
        <v>36.5</v>
      </c>
      <c r="M76">
        <v>993.327</v>
      </c>
      <c r="N76" s="3"/>
      <c r="V76" s="24">
        <v>36510</v>
      </c>
      <c r="W76" s="22" t="s">
        <v>189</v>
      </c>
      <c r="X76" s="22" t="s">
        <v>723</v>
      </c>
      <c r="Y76" s="22" t="s">
        <v>724</v>
      </c>
      <c r="Z76" s="22" t="s">
        <v>725</v>
      </c>
      <c r="AA76" s="22" t="s">
        <v>726</v>
      </c>
      <c r="AB76" s="22" t="s">
        <v>727</v>
      </c>
      <c r="AC76" s="24">
        <v>40891</v>
      </c>
      <c r="AD76" s="24">
        <v>41792</v>
      </c>
      <c r="AE76" s="22" t="s">
        <v>728</v>
      </c>
      <c r="AF76" s="22" t="s">
        <v>729</v>
      </c>
      <c r="AG76" s="22" t="s">
        <v>730</v>
      </c>
      <c r="AH76" s="22" t="s">
        <v>731</v>
      </c>
      <c r="AI76" s="22" t="s">
        <v>198</v>
      </c>
    </row>
    <row r="77" spans="1:35" x14ac:dyDescent="0.25">
      <c r="A77" s="25">
        <v>0</v>
      </c>
      <c r="B77" s="17">
        <v>1.292</v>
      </c>
      <c r="K77" s="3"/>
      <c r="L77" s="20">
        <v>37</v>
      </c>
      <c r="M77">
        <v>993.14499999999998</v>
      </c>
      <c r="N77" s="3"/>
      <c r="V77" s="24">
        <v>37010</v>
      </c>
      <c r="W77" s="22" t="s">
        <v>189</v>
      </c>
      <c r="X77" s="22" t="s">
        <v>732</v>
      </c>
      <c r="Y77" s="22" t="s">
        <v>733</v>
      </c>
      <c r="Z77" s="22" t="s">
        <v>734</v>
      </c>
      <c r="AA77" s="22" t="s">
        <v>735</v>
      </c>
      <c r="AB77" s="22" t="s">
        <v>736</v>
      </c>
      <c r="AC77" s="24">
        <v>40869</v>
      </c>
      <c r="AD77" s="24">
        <v>41792</v>
      </c>
      <c r="AE77" s="22" t="s">
        <v>737</v>
      </c>
      <c r="AF77" s="22" t="s">
        <v>738</v>
      </c>
      <c r="AG77" s="22" t="s">
        <v>739</v>
      </c>
      <c r="AH77" s="22" t="s">
        <v>740</v>
      </c>
      <c r="AI77" s="22" t="s">
        <v>198</v>
      </c>
    </row>
    <row r="78" spans="1:35" x14ac:dyDescent="0.25">
      <c r="A78" s="25">
        <v>5</v>
      </c>
      <c r="B78" s="17">
        <v>1.2689999999999999</v>
      </c>
      <c r="K78" s="3"/>
      <c r="L78" s="20">
        <v>37.5</v>
      </c>
      <c r="M78">
        <v>992.96399999999994</v>
      </c>
      <c r="N78" s="3"/>
      <c r="V78" s="24">
        <v>37510</v>
      </c>
      <c r="W78" s="22" t="s">
        <v>189</v>
      </c>
      <c r="X78" s="22" t="s">
        <v>741</v>
      </c>
      <c r="Y78" s="22" t="s">
        <v>742</v>
      </c>
      <c r="Z78" s="22" t="s">
        <v>743</v>
      </c>
      <c r="AA78" s="22" t="s">
        <v>744</v>
      </c>
      <c r="AB78" s="22" t="s">
        <v>745</v>
      </c>
      <c r="AC78" s="24">
        <v>40847</v>
      </c>
      <c r="AD78" s="24">
        <v>41793</v>
      </c>
      <c r="AE78" s="22" t="s">
        <v>746</v>
      </c>
      <c r="AF78" s="22" t="s">
        <v>747</v>
      </c>
      <c r="AG78" s="22" t="s">
        <v>748</v>
      </c>
      <c r="AH78" s="22" t="s">
        <v>749</v>
      </c>
      <c r="AI78" s="22" t="s">
        <v>198</v>
      </c>
    </row>
    <row r="79" spans="1:35" x14ac:dyDescent="0.25">
      <c r="A79" s="25">
        <v>10</v>
      </c>
      <c r="B79" s="17">
        <v>1.246</v>
      </c>
      <c r="K79" s="3"/>
      <c r="L79" s="20">
        <v>38</v>
      </c>
      <c r="M79">
        <v>992.779</v>
      </c>
      <c r="N79" s="3"/>
      <c r="V79" s="24">
        <v>38010</v>
      </c>
      <c r="W79" s="22" t="s">
        <v>189</v>
      </c>
      <c r="X79" s="22" t="s">
        <v>750</v>
      </c>
      <c r="Y79" s="22" t="s">
        <v>751</v>
      </c>
      <c r="Z79" s="22" t="s">
        <v>752</v>
      </c>
      <c r="AA79" s="22" t="s">
        <v>753</v>
      </c>
      <c r="AB79" s="22" t="s">
        <v>754</v>
      </c>
      <c r="AC79" s="24">
        <v>40824</v>
      </c>
      <c r="AD79" s="24">
        <v>41793</v>
      </c>
      <c r="AE79" s="22" t="s">
        <v>755</v>
      </c>
      <c r="AF79" s="22" t="s">
        <v>756</v>
      </c>
      <c r="AG79" s="22" t="s">
        <v>757</v>
      </c>
      <c r="AH79" s="22" t="s">
        <v>758</v>
      </c>
      <c r="AI79" s="22" t="s">
        <v>198</v>
      </c>
    </row>
    <row r="80" spans="1:35" x14ac:dyDescent="0.25">
      <c r="A80" s="25">
        <v>15</v>
      </c>
      <c r="B80" s="17">
        <v>1.2250000000000001</v>
      </c>
      <c r="K80" s="3"/>
      <c r="L80" s="20">
        <v>38.5</v>
      </c>
      <c r="M80">
        <v>992.59299999999996</v>
      </c>
      <c r="N80" s="3"/>
      <c r="V80" s="24">
        <v>38510</v>
      </c>
      <c r="W80" s="22" t="s">
        <v>189</v>
      </c>
      <c r="X80" s="22" t="s">
        <v>759</v>
      </c>
      <c r="Y80" s="22" t="s">
        <v>760</v>
      </c>
      <c r="Z80" s="22" t="s">
        <v>761</v>
      </c>
      <c r="AA80" s="22" t="s">
        <v>762</v>
      </c>
      <c r="AB80" s="22" t="s">
        <v>763</v>
      </c>
      <c r="AC80" s="24">
        <v>40802</v>
      </c>
      <c r="AD80" s="24">
        <v>41793</v>
      </c>
      <c r="AE80" s="22" t="s">
        <v>764</v>
      </c>
      <c r="AF80" s="22" t="s">
        <v>765</v>
      </c>
      <c r="AG80" s="22" t="s">
        <v>766</v>
      </c>
      <c r="AH80" s="22" t="s">
        <v>767</v>
      </c>
      <c r="AI80" s="22" t="s">
        <v>198</v>
      </c>
    </row>
    <row r="81" spans="1:35" x14ac:dyDescent="0.25">
      <c r="A81" s="25">
        <v>20</v>
      </c>
      <c r="B81" s="17">
        <v>1.204</v>
      </c>
      <c r="K81" s="3"/>
      <c r="L81" s="20">
        <v>39</v>
      </c>
      <c r="M81">
        <v>992.50599999999997</v>
      </c>
      <c r="N81" s="3"/>
      <c r="V81" s="24">
        <v>39010</v>
      </c>
      <c r="W81" s="22" t="s">
        <v>189</v>
      </c>
      <c r="X81" s="22" t="s">
        <v>768</v>
      </c>
      <c r="Y81" s="22" t="s">
        <v>769</v>
      </c>
      <c r="Z81" s="22" t="s">
        <v>770</v>
      </c>
      <c r="AA81" s="22" t="s">
        <v>771</v>
      </c>
      <c r="AB81" s="22" t="s">
        <v>772</v>
      </c>
      <c r="AC81" s="24">
        <v>40779</v>
      </c>
      <c r="AD81" s="24">
        <v>41793</v>
      </c>
      <c r="AE81" s="22" t="s">
        <v>773</v>
      </c>
      <c r="AF81" s="22" t="s">
        <v>774</v>
      </c>
      <c r="AG81" s="22" t="s">
        <v>775</v>
      </c>
      <c r="AH81" s="22" t="s">
        <v>776</v>
      </c>
      <c r="AI81" s="22" t="s">
        <v>198</v>
      </c>
    </row>
    <row r="82" spans="1:35" x14ac:dyDescent="0.25">
      <c r="A82" s="25">
        <v>25</v>
      </c>
      <c r="B82" s="17">
        <v>1.1839999999999999</v>
      </c>
      <c r="K82" s="3"/>
      <c r="L82" s="20">
        <v>39.5</v>
      </c>
      <c r="M82">
        <v>992.404</v>
      </c>
      <c r="N82" s="3"/>
      <c r="V82" s="24">
        <v>39510</v>
      </c>
      <c r="W82" s="22" t="s">
        <v>189</v>
      </c>
      <c r="X82" s="22" t="s">
        <v>777</v>
      </c>
      <c r="Y82" s="22" t="s">
        <v>778</v>
      </c>
      <c r="Z82" s="22" t="s">
        <v>779</v>
      </c>
      <c r="AA82" s="22" t="s">
        <v>780</v>
      </c>
      <c r="AB82" s="22" t="s">
        <v>781</v>
      </c>
      <c r="AC82" s="24">
        <v>40756</v>
      </c>
      <c r="AD82" s="24">
        <v>41794</v>
      </c>
      <c r="AE82" s="22" t="s">
        <v>782</v>
      </c>
      <c r="AF82" s="22" t="s">
        <v>783</v>
      </c>
      <c r="AG82" s="22" t="s">
        <v>784</v>
      </c>
      <c r="AH82" s="22" t="s">
        <v>785</v>
      </c>
      <c r="AI82" s="22" t="s">
        <v>198</v>
      </c>
    </row>
    <row r="83" spans="1:35" x14ac:dyDescent="0.25">
      <c r="A83" s="25">
        <v>30</v>
      </c>
      <c r="B83" s="17">
        <v>1.1639999999999999</v>
      </c>
      <c r="K83" s="3"/>
      <c r="L83" s="20">
        <v>40</v>
      </c>
      <c r="M83">
        <v>992.21400000000006</v>
      </c>
      <c r="N83" s="3"/>
      <c r="V83" s="24">
        <v>40010</v>
      </c>
      <c r="W83" s="22" t="s">
        <v>189</v>
      </c>
      <c r="X83" s="22" t="s">
        <v>786</v>
      </c>
      <c r="Y83" s="22" t="s">
        <v>787</v>
      </c>
      <c r="Z83" s="22" t="s">
        <v>788</v>
      </c>
      <c r="AA83" s="22" t="s">
        <v>789</v>
      </c>
      <c r="AB83" s="22" t="s">
        <v>790</v>
      </c>
      <c r="AC83" s="24">
        <v>40734</v>
      </c>
      <c r="AD83" s="24">
        <v>41794</v>
      </c>
      <c r="AE83" s="22" t="s">
        <v>791</v>
      </c>
      <c r="AF83" s="22" t="s">
        <v>792</v>
      </c>
      <c r="AG83" s="22" t="s">
        <v>793</v>
      </c>
      <c r="AH83" s="22" t="s">
        <v>794</v>
      </c>
      <c r="AI83" s="22" t="s">
        <v>198</v>
      </c>
    </row>
    <row r="84" spans="1:35" x14ac:dyDescent="0.25">
      <c r="A84" s="25">
        <v>35</v>
      </c>
      <c r="B84" s="17">
        <v>1.145</v>
      </c>
      <c r="K84" s="3"/>
      <c r="L84" s="20">
        <v>41</v>
      </c>
      <c r="M84">
        <v>991.82800000000009</v>
      </c>
      <c r="N84" s="3"/>
      <c r="V84" s="24">
        <v>40510</v>
      </c>
      <c r="W84" s="22" t="s">
        <v>189</v>
      </c>
      <c r="X84" s="22" t="s">
        <v>795</v>
      </c>
      <c r="Y84" s="22" t="s">
        <v>796</v>
      </c>
      <c r="Z84" s="22" t="s">
        <v>797</v>
      </c>
      <c r="AA84" s="22" t="s">
        <v>798</v>
      </c>
      <c r="AB84" s="22" t="s">
        <v>799</v>
      </c>
      <c r="AC84" s="24">
        <v>40711</v>
      </c>
      <c r="AD84" s="24">
        <v>41795</v>
      </c>
      <c r="AE84" s="22" t="s">
        <v>800</v>
      </c>
      <c r="AF84" s="22" t="s">
        <v>801</v>
      </c>
      <c r="AG84" s="22" t="s">
        <v>802</v>
      </c>
      <c r="AH84" s="22" t="s">
        <v>803</v>
      </c>
      <c r="AI84" s="22" t="s">
        <v>198</v>
      </c>
    </row>
    <row r="85" spans="1:35" x14ac:dyDescent="0.25">
      <c r="A85" s="25">
        <v>40</v>
      </c>
      <c r="B85" s="17">
        <v>1.127</v>
      </c>
      <c r="K85" s="3"/>
      <c r="L85" s="20">
        <v>42</v>
      </c>
      <c r="M85">
        <v>991.43499999999995</v>
      </c>
      <c r="N85" s="3"/>
      <c r="V85" s="24">
        <v>41010</v>
      </c>
      <c r="W85" s="22" t="s">
        <v>189</v>
      </c>
      <c r="X85" s="22" t="s">
        <v>804</v>
      </c>
      <c r="Y85" s="22" t="s">
        <v>805</v>
      </c>
      <c r="Z85" s="22" t="s">
        <v>806</v>
      </c>
      <c r="AA85" s="22" t="s">
        <v>807</v>
      </c>
      <c r="AB85" s="22" t="s">
        <v>808</v>
      </c>
      <c r="AC85" s="24">
        <v>40688</v>
      </c>
      <c r="AD85" s="24">
        <v>41795</v>
      </c>
      <c r="AE85" s="22" t="s">
        <v>809</v>
      </c>
      <c r="AF85" s="22" t="s">
        <v>810</v>
      </c>
      <c r="AG85" s="22" t="s">
        <v>811</v>
      </c>
      <c r="AH85" s="22" t="s">
        <v>812</v>
      </c>
      <c r="AI85" s="22" t="s">
        <v>198</v>
      </c>
    </row>
    <row r="86" spans="1:35" x14ac:dyDescent="0.25">
      <c r="A86" s="25">
        <v>45</v>
      </c>
      <c r="B86" s="17">
        <v>1.109</v>
      </c>
      <c r="K86" s="3"/>
      <c r="L86" s="20">
        <v>43</v>
      </c>
      <c r="M86">
        <v>991.03399999999999</v>
      </c>
      <c r="N86" s="3"/>
      <c r="V86" s="24">
        <v>41510</v>
      </c>
      <c r="W86" s="22" t="s">
        <v>189</v>
      </c>
      <c r="X86" s="22" t="s">
        <v>813</v>
      </c>
      <c r="Y86" s="22" t="s">
        <v>814</v>
      </c>
      <c r="Z86" s="22" t="s">
        <v>815</v>
      </c>
      <c r="AA86" s="22" t="s">
        <v>816</v>
      </c>
      <c r="AB86" s="22" t="s">
        <v>817</v>
      </c>
      <c r="AC86" s="24">
        <v>40665</v>
      </c>
      <c r="AD86" s="24">
        <v>41796</v>
      </c>
      <c r="AE86" s="22" t="s">
        <v>818</v>
      </c>
      <c r="AF86" s="22" t="s">
        <v>819</v>
      </c>
      <c r="AG86" s="22" t="s">
        <v>820</v>
      </c>
      <c r="AH86" s="22" t="s">
        <v>821</v>
      </c>
      <c r="AI86" s="22" t="s">
        <v>198</v>
      </c>
    </row>
    <row r="87" spans="1:35" x14ac:dyDescent="0.25">
      <c r="A87" s="25">
        <v>50</v>
      </c>
      <c r="B87" s="17">
        <v>1.0920000000000001</v>
      </c>
      <c r="K87" s="3"/>
      <c r="L87" s="20">
        <v>44</v>
      </c>
      <c r="M87">
        <v>990.62599999999998</v>
      </c>
      <c r="N87" s="3"/>
      <c r="V87" s="24">
        <v>42010</v>
      </c>
      <c r="W87" s="22" t="s">
        <v>189</v>
      </c>
      <c r="X87" s="22" t="s">
        <v>822</v>
      </c>
      <c r="Y87" s="22" t="s">
        <v>823</v>
      </c>
      <c r="Z87" s="22" t="s">
        <v>824</v>
      </c>
      <c r="AA87" s="22" t="s">
        <v>825</v>
      </c>
      <c r="AB87" s="22" t="s">
        <v>826</v>
      </c>
      <c r="AC87" s="24">
        <v>40642</v>
      </c>
      <c r="AD87" s="24">
        <v>41796</v>
      </c>
      <c r="AE87" s="22" t="s">
        <v>827</v>
      </c>
      <c r="AF87" s="22" t="s">
        <v>828</v>
      </c>
      <c r="AG87" s="22" t="s">
        <v>829</v>
      </c>
      <c r="AH87" s="22" t="s">
        <v>830</v>
      </c>
      <c r="AI87" s="22" t="s">
        <v>198</v>
      </c>
    </row>
    <row r="88" spans="1:35" x14ac:dyDescent="0.25">
      <c r="A88" s="25">
        <v>60</v>
      </c>
      <c r="B88" s="17">
        <v>1.0589999999999999</v>
      </c>
      <c r="K88" s="3"/>
      <c r="L88" s="20">
        <v>45</v>
      </c>
      <c r="M88">
        <v>990.2109999999999</v>
      </c>
      <c r="N88" s="3"/>
      <c r="V88" s="24">
        <v>42510</v>
      </c>
      <c r="W88" s="22" t="s">
        <v>189</v>
      </c>
      <c r="X88" s="22" t="s">
        <v>831</v>
      </c>
      <c r="Y88" s="22" t="s">
        <v>832</v>
      </c>
      <c r="Z88" s="22" t="s">
        <v>833</v>
      </c>
      <c r="AA88" s="22" t="s">
        <v>834</v>
      </c>
      <c r="AB88" s="22" t="s">
        <v>835</v>
      </c>
      <c r="AC88" s="24">
        <v>40618</v>
      </c>
      <c r="AD88" s="24">
        <v>41797</v>
      </c>
      <c r="AE88" s="22" t="s">
        <v>836</v>
      </c>
      <c r="AF88" s="22" t="s">
        <v>837</v>
      </c>
      <c r="AG88" s="22" t="s">
        <v>838</v>
      </c>
      <c r="AH88" s="22" t="s">
        <v>839</v>
      </c>
      <c r="AI88" s="22" t="s">
        <v>198</v>
      </c>
    </row>
    <row r="89" spans="1:35" x14ac:dyDescent="0.25">
      <c r="A89" s="25">
        <v>70</v>
      </c>
      <c r="B89" s="17">
        <v>1.028</v>
      </c>
      <c r="K89" s="3"/>
      <c r="L89" s="20">
        <v>46</v>
      </c>
      <c r="M89">
        <v>989.78899999999999</v>
      </c>
      <c r="N89" s="3"/>
      <c r="V89" s="24">
        <v>43010</v>
      </c>
      <c r="W89" s="22" t="s">
        <v>189</v>
      </c>
      <c r="X89" s="22" t="s">
        <v>840</v>
      </c>
      <c r="Y89" s="22" t="s">
        <v>841</v>
      </c>
      <c r="Z89" s="22" t="s">
        <v>842</v>
      </c>
      <c r="AA89" s="22" t="s">
        <v>843</v>
      </c>
      <c r="AB89" s="22" t="s">
        <v>844</v>
      </c>
      <c r="AC89" s="24">
        <v>40595</v>
      </c>
      <c r="AD89" s="24">
        <v>41798</v>
      </c>
      <c r="AE89" s="22" t="s">
        <v>845</v>
      </c>
      <c r="AF89" s="22" t="s">
        <v>846</v>
      </c>
      <c r="AG89" s="22" t="s">
        <v>847</v>
      </c>
      <c r="AH89" s="22" t="s">
        <v>848</v>
      </c>
      <c r="AI89" s="22" t="s">
        <v>198</v>
      </c>
    </row>
    <row r="90" spans="1:35" x14ac:dyDescent="0.25">
      <c r="A90" s="25">
        <v>80</v>
      </c>
      <c r="B90" s="17">
        <v>0.99939999999999996</v>
      </c>
      <c r="K90" s="3"/>
      <c r="L90" s="20">
        <v>47</v>
      </c>
      <c r="M90">
        <v>989.36099999999999</v>
      </c>
      <c r="N90" s="3"/>
      <c r="V90" s="24">
        <v>43510</v>
      </c>
      <c r="W90" s="22" t="s">
        <v>189</v>
      </c>
      <c r="X90" s="22" t="s">
        <v>849</v>
      </c>
      <c r="Y90" s="22" t="s">
        <v>850</v>
      </c>
      <c r="Z90" s="22" t="s">
        <v>851</v>
      </c>
      <c r="AA90" s="22" t="s">
        <v>852</v>
      </c>
      <c r="AB90" s="22" t="s">
        <v>853</v>
      </c>
      <c r="AC90" s="24">
        <v>40572</v>
      </c>
      <c r="AD90" s="24">
        <v>41799</v>
      </c>
      <c r="AE90" s="22" t="s">
        <v>854</v>
      </c>
      <c r="AF90" s="22" t="s">
        <v>855</v>
      </c>
      <c r="AG90" s="22" t="s">
        <v>856</v>
      </c>
      <c r="AH90" s="22" t="s">
        <v>857</v>
      </c>
      <c r="AI90" s="22" t="s">
        <v>198</v>
      </c>
    </row>
    <row r="91" spans="1:35" x14ac:dyDescent="0.25">
      <c r="A91" s="25">
        <v>90</v>
      </c>
      <c r="B91" s="17">
        <v>0.9718</v>
      </c>
      <c r="K91" s="3"/>
      <c r="L91" s="20">
        <v>48</v>
      </c>
      <c r="M91">
        <v>988.92500000000007</v>
      </c>
      <c r="N91" s="3"/>
      <c r="V91" s="24">
        <v>44010</v>
      </c>
      <c r="W91" s="22" t="s">
        <v>189</v>
      </c>
      <c r="X91" s="22" t="s">
        <v>858</v>
      </c>
      <c r="Y91" s="22" t="s">
        <v>859</v>
      </c>
      <c r="Z91" s="22" t="s">
        <v>860</v>
      </c>
      <c r="AA91" s="22" t="s">
        <v>861</v>
      </c>
      <c r="AB91" s="22" t="s">
        <v>862</v>
      </c>
      <c r="AC91" s="24">
        <v>40548</v>
      </c>
      <c r="AD91" s="24">
        <v>41800</v>
      </c>
      <c r="AE91" s="22" t="s">
        <v>863</v>
      </c>
      <c r="AF91" s="22" t="s">
        <v>864</v>
      </c>
      <c r="AG91" s="22" t="s">
        <v>865</v>
      </c>
      <c r="AH91" s="22" t="s">
        <v>866</v>
      </c>
      <c r="AI91" s="22" t="s">
        <v>198</v>
      </c>
    </row>
    <row r="92" spans="1:35" x14ac:dyDescent="0.25">
      <c r="A92" s="25">
        <v>100</v>
      </c>
      <c r="B92" s="17">
        <v>0.94579999999999997</v>
      </c>
      <c r="K92" s="3"/>
      <c r="L92" s="20">
        <v>49</v>
      </c>
      <c r="M92">
        <v>988.48299999999995</v>
      </c>
      <c r="N92" s="3"/>
      <c r="V92" s="24">
        <v>44510</v>
      </c>
      <c r="W92" s="22" t="s">
        <v>189</v>
      </c>
      <c r="X92" s="22" t="s">
        <v>867</v>
      </c>
      <c r="Y92" s="22" t="s">
        <v>868</v>
      </c>
      <c r="Z92" s="22" t="s">
        <v>869</v>
      </c>
      <c r="AA92" s="22" t="s">
        <v>870</v>
      </c>
      <c r="AB92" s="22" t="s">
        <v>871</v>
      </c>
      <c r="AC92" s="24">
        <v>40525</v>
      </c>
      <c r="AD92" s="24">
        <v>41800</v>
      </c>
      <c r="AE92" s="22" t="s">
        <v>872</v>
      </c>
      <c r="AF92" s="22" t="s">
        <v>873</v>
      </c>
      <c r="AG92" s="22" t="s">
        <v>874</v>
      </c>
      <c r="AH92" s="22" t="s">
        <v>875</v>
      </c>
      <c r="AI92" s="22" t="s">
        <v>198</v>
      </c>
    </row>
    <row r="93" spans="1:35" x14ac:dyDescent="0.25">
      <c r="A93" s="25">
        <v>110</v>
      </c>
      <c r="B93" s="17">
        <v>0.92100000000000004</v>
      </c>
      <c r="K93" s="3"/>
      <c r="L93" s="20">
        <v>50</v>
      </c>
      <c r="M93">
        <v>988.03399999999999</v>
      </c>
      <c r="N93" s="3"/>
      <c r="V93" s="24">
        <v>45010</v>
      </c>
      <c r="W93" s="22" t="s">
        <v>189</v>
      </c>
      <c r="X93" s="22" t="s">
        <v>876</v>
      </c>
      <c r="Y93" s="22" t="s">
        <v>877</v>
      </c>
      <c r="Z93" s="22" t="s">
        <v>878</v>
      </c>
      <c r="AA93" s="22" t="s">
        <v>879</v>
      </c>
      <c r="AB93" s="22" t="s">
        <v>880</v>
      </c>
      <c r="AC93" s="24">
        <v>40501</v>
      </c>
      <c r="AD93" s="24">
        <v>41801</v>
      </c>
      <c r="AE93" s="22" t="s">
        <v>881</v>
      </c>
      <c r="AF93" s="22" t="s">
        <v>882</v>
      </c>
      <c r="AG93" s="22" t="s">
        <v>883</v>
      </c>
      <c r="AH93" s="22" t="s">
        <v>884</v>
      </c>
      <c r="AI93" s="22" t="s">
        <v>198</v>
      </c>
    </row>
    <row r="94" spans="1:35" x14ac:dyDescent="0.25">
      <c r="A94" s="25">
        <v>120</v>
      </c>
      <c r="B94" s="17">
        <v>0.89770000000000005</v>
      </c>
      <c r="D94" s="14">
        <v>150</v>
      </c>
      <c r="K94" s="3"/>
      <c r="L94" s="20">
        <v>51</v>
      </c>
      <c r="M94">
        <v>987.57799999999997</v>
      </c>
      <c r="N94" s="3"/>
      <c r="V94" s="24">
        <v>45510</v>
      </c>
      <c r="W94" s="22" t="s">
        <v>189</v>
      </c>
      <c r="X94" s="22" t="s">
        <v>885</v>
      </c>
      <c r="Y94" s="22" t="s">
        <v>886</v>
      </c>
      <c r="Z94" s="22" t="s">
        <v>887</v>
      </c>
      <c r="AA94" s="22" t="s">
        <v>888</v>
      </c>
      <c r="AB94" s="22" t="s">
        <v>889</v>
      </c>
      <c r="AC94" s="24">
        <v>40477</v>
      </c>
      <c r="AD94" s="24">
        <v>41802</v>
      </c>
      <c r="AE94" s="22" t="s">
        <v>890</v>
      </c>
      <c r="AF94" s="22" t="s">
        <v>891</v>
      </c>
      <c r="AG94" s="22" t="s">
        <v>892</v>
      </c>
      <c r="AH94" s="22" t="s">
        <v>893</v>
      </c>
      <c r="AI94" s="22" t="s">
        <v>198</v>
      </c>
    </row>
    <row r="95" spans="1:35" x14ac:dyDescent="0.25">
      <c r="A95" s="25">
        <v>140</v>
      </c>
      <c r="B95" s="17">
        <v>0.85419999999999996</v>
      </c>
      <c r="D95" s="27">
        <f>(8*POWER(10,-9)*(POWER(D94,3)))+(9*POWER(10,-6)*POWER(D94,2))-(0.0043*D94)+1.292</f>
        <v>0.87650000000000006</v>
      </c>
      <c r="K95" s="3"/>
      <c r="L95" s="20">
        <v>52</v>
      </c>
      <c r="M95">
        <v>987.11599999999999</v>
      </c>
      <c r="N95" s="3"/>
      <c r="V95" s="24">
        <v>46010</v>
      </c>
      <c r="W95" s="22" t="s">
        <v>189</v>
      </c>
      <c r="X95" s="22" t="s">
        <v>894</v>
      </c>
      <c r="Y95" s="22" t="s">
        <v>895</v>
      </c>
      <c r="Z95" s="22" t="s">
        <v>896</v>
      </c>
      <c r="AA95" s="22" t="s">
        <v>897</v>
      </c>
      <c r="AB95" s="22" t="s">
        <v>898</v>
      </c>
      <c r="AC95" s="24">
        <v>40454</v>
      </c>
      <c r="AD95" s="24">
        <v>41803</v>
      </c>
      <c r="AE95" s="22" t="s">
        <v>899</v>
      </c>
      <c r="AF95" s="22" t="s">
        <v>900</v>
      </c>
      <c r="AG95" s="22" t="s">
        <v>901</v>
      </c>
      <c r="AH95" s="22" t="s">
        <v>902</v>
      </c>
      <c r="AI95" s="22" t="s">
        <v>198</v>
      </c>
    </row>
    <row r="96" spans="1:35" x14ac:dyDescent="0.25">
      <c r="A96" s="25">
        <v>160</v>
      </c>
      <c r="B96" s="17">
        <v>0.81479999999999997</v>
      </c>
      <c r="K96" s="3"/>
      <c r="L96" s="20">
        <v>53</v>
      </c>
      <c r="M96">
        <v>986.64700000000005</v>
      </c>
      <c r="N96" s="3"/>
      <c r="V96" s="24">
        <v>46510</v>
      </c>
      <c r="W96" s="22" t="s">
        <v>189</v>
      </c>
      <c r="X96" s="22" t="s">
        <v>903</v>
      </c>
      <c r="Y96" s="22" t="s">
        <v>904</v>
      </c>
      <c r="Z96" s="22" t="s">
        <v>905</v>
      </c>
      <c r="AA96" s="22" t="s">
        <v>906</v>
      </c>
      <c r="AB96" s="22" t="s">
        <v>907</v>
      </c>
      <c r="AC96" s="24">
        <v>40430</v>
      </c>
      <c r="AD96" s="24">
        <v>41805</v>
      </c>
      <c r="AE96" s="22" t="s">
        <v>908</v>
      </c>
      <c r="AF96" s="22" t="s">
        <v>909</v>
      </c>
      <c r="AG96" s="22" t="s">
        <v>910</v>
      </c>
      <c r="AH96" s="22" t="s">
        <v>911</v>
      </c>
      <c r="AI96" s="22" t="s">
        <v>198</v>
      </c>
    </row>
    <row r="97" spans="1:35" x14ac:dyDescent="0.25">
      <c r="A97" s="25">
        <v>180</v>
      </c>
      <c r="B97" s="17">
        <v>0.77880000000000005</v>
      </c>
      <c r="K97" s="3"/>
      <c r="L97" s="20">
        <v>54</v>
      </c>
      <c r="M97">
        <v>986.17200000000003</v>
      </c>
      <c r="N97" s="3"/>
      <c r="V97" s="24">
        <v>47010</v>
      </c>
      <c r="W97" s="22" t="s">
        <v>189</v>
      </c>
      <c r="X97" s="22" t="s">
        <v>912</v>
      </c>
      <c r="Y97" s="22" t="s">
        <v>913</v>
      </c>
      <c r="Z97" s="22" t="s">
        <v>914</v>
      </c>
      <c r="AA97" s="22" t="s">
        <v>915</v>
      </c>
      <c r="AB97" s="22" t="s">
        <v>916</v>
      </c>
      <c r="AC97" s="24">
        <v>40406</v>
      </c>
      <c r="AD97" s="24">
        <v>41806</v>
      </c>
      <c r="AE97" s="22" t="s">
        <v>917</v>
      </c>
      <c r="AF97" s="22" t="s">
        <v>918</v>
      </c>
      <c r="AG97" s="22" t="s">
        <v>919</v>
      </c>
      <c r="AH97" s="22" t="s">
        <v>920</v>
      </c>
      <c r="AI97" s="22" t="s">
        <v>198</v>
      </c>
    </row>
    <row r="98" spans="1:35" x14ac:dyDescent="0.25">
      <c r="A98" s="25">
        <v>200</v>
      </c>
      <c r="B98" s="17">
        <v>0.74590000000000001</v>
      </c>
      <c r="K98" s="3"/>
      <c r="L98" s="20">
        <v>55</v>
      </c>
      <c r="M98">
        <v>985.69100000000003</v>
      </c>
      <c r="N98" s="3"/>
      <c r="V98" s="24">
        <v>47510</v>
      </c>
      <c r="W98" s="22" t="s">
        <v>189</v>
      </c>
      <c r="X98" s="22" t="s">
        <v>921</v>
      </c>
      <c r="Y98" s="22" t="s">
        <v>922</v>
      </c>
      <c r="Z98" s="22" t="s">
        <v>923</v>
      </c>
      <c r="AA98" s="22" t="s">
        <v>924</v>
      </c>
      <c r="AB98" s="22" t="s">
        <v>925</v>
      </c>
      <c r="AC98" s="24">
        <v>40382</v>
      </c>
      <c r="AD98" s="24">
        <v>41807</v>
      </c>
      <c r="AE98" s="22" t="s">
        <v>926</v>
      </c>
      <c r="AF98" s="22" t="s">
        <v>927</v>
      </c>
      <c r="AG98" s="22" t="s">
        <v>928</v>
      </c>
      <c r="AH98" s="22" t="s">
        <v>929</v>
      </c>
      <c r="AI98" s="22" t="s">
        <v>198</v>
      </c>
    </row>
    <row r="99" spans="1:35" x14ac:dyDescent="0.25">
      <c r="A99" s="25">
        <v>250</v>
      </c>
      <c r="B99" s="17">
        <v>0.67459999999999998</v>
      </c>
      <c r="K99" s="3"/>
      <c r="L99" s="20">
        <v>56</v>
      </c>
      <c r="M99">
        <v>985.20300000000009</v>
      </c>
      <c r="N99" s="3"/>
      <c r="V99" s="24">
        <v>48010</v>
      </c>
      <c r="W99" s="22" t="s">
        <v>189</v>
      </c>
      <c r="X99" s="22" t="s">
        <v>930</v>
      </c>
      <c r="Y99" s="22" t="s">
        <v>931</v>
      </c>
      <c r="Z99" s="22" t="s">
        <v>932</v>
      </c>
      <c r="AA99" s="22" t="s">
        <v>933</v>
      </c>
      <c r="AB99" s="22" t="s">
        <v>934</v>
      </c>
      <c r="AC99" s="24">
        <v>40358</v>
      </c>
      <c r="AD99" s="24">
        <v>41808</v>
      </c>
      <c r="AE99" s="22" t="s">
        <v>935</v>
      </c>
      <c r="AF99" s="22" t="s">
        <v>936</v>
      </c>
      <c r="AG99" s="22" t="s">
        <v>937</v>
      </c>
      <c r="AH99" s="22" t="s">
        <v>938</v>
      </c>
      <c r="AI99" s="22" t="s">
        <v>198</v>
      </c>
    </row>
    <row r="100" spans="1:35" x14ac:dyDescent="0.25">
      <c r="A100" s="25">
        <v>300</v>
      </c>
      <c r="B100" s="17">
        <v>0.61580000000000001</v>
      </c>
      <c r="K100" s="3"/>
      <c r="L100" s="20">
        <v>57</v>
      </c>
      <c r="M100">
        <v>984.70999999999992</v>
      </c>
      <c r="N100" s="3"/>
      <c r="V100" s="24">
        <v>48510</v>
      </c>
      <c r="W100" s="22" t="s">
        <v>189</v>
      </c>
      <c r="X100" s="22" t="s">
        <v>939</v>
      </c>
      <c r="Y100" s="22" t="s">
        <v>940</v>
      </c>
      <c r="Z100" s="22" t="s">
        <v>941</v>
      </c>
      <c r="AA100" s="22" t="s">
        <v>942</v>
      </c>
      <c r="AB100" s="22" t="s">
        <v>943</v>
      </c>
      <c r="AC100" s="24">
        <v>40334</v>
      </c>
      <c r="AD100" s="24">
        <v>41809</v>
      </c>
      <c r="AE100" s="22" t="s">
        <v>944</v>
      </c>
      <c r="AF100" s="22" t="s">
        <v>945</v>
      </c>
      <c r="AG100" s="22" t="s">
        <v>946</v>
      </c>
      <c r="AH100" s="22" t="s">
        <v>947</v>
      </c>
      <c r="AI100" s="22" t="s">
        <v>198</v>
      </c>
    </row>
    <row r="101" spans="1:35" x14ac:dyDescent="0.25">
      <c r="A101" s="25">
        <v>350</v>
      </c>
      <c r="B101" s="17">
        <v>0.56640000000000001</v>
      </c>
      <c r="K101" s="3"/>
      <c r="L101" s="20">
        <v>58</v>
      </c>
      <c r="M101">
        <v>984.21</v>
      </c>
      <c r="N101" s="3"/>
      <c r="V101" s="24">
        <v>49010</v>
      </c>
      <c r="W101" s="22" t="s">
        <v>189</v>
      </c>
      <c r="X101" s="22" t="s">
        <v>948</v>
      </c>
      <c r="Y101" s="22" t="s">
        <v>949</v>
      </c>
      <c r="Z101" s="22" t="s">
        <v>950</v>
      </c>
      <c r="AA101" s="22" t="s">
        <v>951</v>
      </c>
      <c r="AB101" s="22" t="s">
        <v>952</v>
      </c>
      <c r="AC101" s="24">
        <v>40310</v>
      </c>
      <c r="AD101" s="24">
        <v>41811</v>
      </c>
      <c r="AE101" s="22" t="s">
        <v>953</v>
      </c>
      <c r="AF101" s="22" t="s">
        <v>954</v>
      </c>
      <c r="AG101" s="22" t="s">
        <v>955</v>
      </c>
      <c r="AH101" s="22" t="s">
        <v>956</v>
      </c>
      <c r="AI101" s="22" t="s">
        <v>198</v>
      </c>
    </row>
    <row r="102" spans="1:35" x14ac:dyDescent="0.25">
      <c r="A102" s="25">
        <v>400</v>
      </c>
      <c r="B102" s="17">
        <v>0.52429999999999999</v>
      </c>
      <c r="K102" s="3"/>
      <c r="L102" s="20">
        <v>59</v>
      </c>
      <c r="M102">
        <v>983.70400000000006</v>
      </c>
      <c r="N102" s="3"/>
      <c r="V102" s="24">
        <v>49510</v>
      </c>
      <c r="W102" s="22" t="s">
        <v>189</v>
      </c>
      <c r="X102" s="22" t="s">
        <v>957</v>
      </c>
      <c r="Y102" s="22" t="s">
        <v>958</v>
      </c>
      <c r="Z102" s="22" t="s">
        <v>959</v>
      </c>
      <c r="AA102" s="22" t="s">
        <v>960</v>
      </c>
      <c r="AB102" s="22" t="s">
        <v>961</v>
      </c>
      <c r="AC102" s="24">
        <v>40286</v>
      </c>
      <c r="AD102" s="24">
        <v>41812</v>
      </c>
      <c r="AE102" s="22" t="s">
        <v>962</v>
      </c>
      <c r="AF102" s="22" t="s">
        <v>963</v>
      </c>
      <c r="AG102" s="22" t="s">
        <v>964</v>
      </c>
      <c r="AH102" s="22" t="s">
        <v>965</v>
      </c>
      <c r="AI102" s="22" t="s">
        <v>198</v>
      </c>
    </row>
    <row r="103" spans="1:35" x14ac:dyDescent="0.25">
      <c r="A103" s="2">
        <v>450</v>
      </c>
      <c r="B103" s="17">
        <v>0.48799999999999999</v>
      </c>
      <c r="K103" s="3"/>
      <c r="L103" s="20">
        <v>60</v>
      </c>
      <c r="M103">
        <v>983.19299999999998</v>
      </c>
      <c r="N103" s="3"/>
      <c r="V103" s="24">
        <v>50010</v>
      </c>
      <c r="W103" s="22" t="s">
        <v>189</v>
      </c>
      <c r="X103" s="22" t="s">
        <v>966</v>
      </c>
      <c r="Y103" s="22" t="s">
        <v>967</v>
      </c>
      <c r="Z103" s="22" t="s">
        <v>968</v>
      </c>
      <c r="AA103" s="22" t="s">
        <v>969</v>
      </c>
      <c r="AB103" s="22" t="s">
        <v>970</v>
      </c>
      <c r="AC103" s="24">
        <v>40261</v>
      </c>
      <c r="AD103" s="24">
        <v>41813</v>
      </c>
      <c r="AE103" s="22" t="s">
        <v>971</v>
      </c>
      <c r="AF103" s="22" t="s">
        <v>972</v>
      </c>
      <c r="AG103" s="22" t="s">
        <v>973</v>
      </c>
      <c r="AH103" s="22" t="s">
        <v>974</v>
      </c>
      <c r="AI103" s="22" t="s">
        <v>198</v>
      </c>
    </row>
    <row r="104" spans="1:35" x14ac:dyDescent="0.25">
      <c r="A104" s="2">
        <v>500</v>
      </c>
      <c r="B104" s="17">
        <v>0.45650000000000002</v>
      </c>
      <c r="K104" s="3"/>
      <c r="L104" s="20">
        <v>61</v>
      </c>
      <c r="M104">
        <v>982.67499999999995</v>
      </c>
      <c r="N104" s="3"/>
      <c r="V104" s="24">
        <v>50510</v>
      </c>
      <c r="W104" s="22" t="s">
        <v>189</v>
      </c>
      <c r="X104" s="22" t="s">
        <v>975</v>
      </c>
      <c r="Y104" s="22" t="s">
        <v>976</v>
      </c>
      <c r="Z104" s="22" t="s">
        <v>977</v>
      </c>
      <c r="AA104" s="22" t="s">
        <v>978</v>
      </c>
      <c r="AB104" s="22" t="s">
        <v>979</v>
      </c>
      <c r="AC104" s="24">
        <v>40237</v>
      </c>
      <c r="AD104" s="24">
        <v>41815</v>
      </c>
      <c r="AE104" s="22" t="s">
        <v>980</v>
      </c>
      <c r="AF104" s="22" t="s">
        <v>981</v>
      </c>
      <c r="AG104" s="22" t="s">
        <v>982</v>
      </c>
      <c r="AH104" s="22" t="s">
        <v>983</v>
      </c>
      <c r="AI104" s="22" t="s">
        <v>198</v>
      </c>
    </row>
    <row r="105" spans="1:35" x14ac:dyDescent="0.25">
      <c r="K105" s="3"/>
      <c r="L105" s="20">
        <v>62</v>
      </c>
      <c r="M105">
        <v>982.15200000000004</v>
      </c>
      <c r="N105" s="3"/>
      <c r="V105" s="24">
        <v>51010</v>
      </c>
      <c r="W105" s="22" t="s">
        <v>189</v>
      </c>
      <c r="X105" s="22" t="s">
        <v>984</v>
      </c>
      <c r="Y105" s="22" t="s">
        <v>985</v>
      </c>
      <c r="Z105" s="22" t="s">
        <v>986</v>
      </c>
      <c r="AA105" s="22" t="s">
        <v>987</v>
      </c>
      <c r="AB105" s="22" t="s">
        <v>988</v>
      </c>
      <c r="AC105" s="24">
        <v>40213</v>
      </c>
      <c r="AD105" s="24">
        <v>41816</v>
      </c>
      <c r="AE105" s="22" t="s">
        <v>989</v>
      </c>
      <c r="AF105" s="22" t="s">
        <v>990</v>
      </c>
      <c r="AG105" s="22" t="s">
        <v>991</v>
      </c>
      <c r="AH105" s="22" t="s">
        <v>992</v>
      </c>
      <c r="AI105" s="22" t="s">
        <v>198</v>
      </c>
    </row>
    <row r="106" spans="1:35" x14ac:dyDescent="0.25">
      <c r="K106" s="3"/>
      <c r="L106" s="20">
        <v>63</v>
      </c>
      <c r="M106">
        <v>981.62199999999996</v>
      </c>
      <c r="N106" s="3"/>
      <c r="V106" s="24">
        <v>51510</v>
      </c>
      <c r="W106" s="22" t="s">
        <v>189</v>
      </c>
      <c r="X106" s="22" t="s">
        <v>993</v>
      </c>
      <c r="Y106" s="22" t="s">
        <v>994</v>
      </c>
      <c r="Z106" s="22" t="s">
        <v>995</v>
      </c>
      <c r="AA106" s="22" t="s">
        <v>996</v>
      </c>
      <c r="AB106" s="22" t="s">
        <v>997</v>
      </c>
      <c r="AC106" s="24">
        <v>40188</v>
      </c>
      <c r="AD106" s="24">
        <v>41818</v>
      </c>
      <c r="AE106" s="22" t="s">
        <v>998</v>
      </c>
      <c r="AF106" s="22" t="s">
        <v>999</v>
      </c>
      <c r="AG106" s="22" t="s">
        <v>1000</v>
      </c>
      <c r="AH106" s="22" t="s">
        <v>1001</v>
      </c>
      <c r="AI106" s="22" t="s">
        <v>198</v>
      </c>
    </row>
    <row r="107" spans="1:35" x14ac:dyDescent="0.25">
      <c r="K107" s="3"/>
      <c r="L107" s="20">
        <v>64</v>
      </c>
      <c r="M107">
        <v>981.08699999999999</v>
      </c>
      <c r="N107" s="3"/>
      <c r="V107" s="24">
        <v>52010</v>
      </c>
      <c r="W107" s="22" t="s">
        <v>189</v>
      </c>
      <c r="X107" s="22" t="s">
        <v>1002</v>
      </c>
      <c r="Y107" s="22" t="s">
        <v>1003</v>
      </c>
      <c r="Z107" s="22" t="s">
        <v>1004</v>
      </c>
      <c r="AA107" s="22" t="s">
        <v>1005</v>
      </c>
      <c r="AB107" s="22" t="s">
        <v>1006</v>
      </c>
      <c r="AC107" s="24">
        <v>40164</v>
      </c>
      <c r="AD107" s="24">
        <v>41819</v>
      </c>
      <c r="AE107" s="22" t="s">
        <v>1007</v>
      </c>
      <c r="AF107" s="22" t="s">
        <v>1008</v>
      </c>
      <c r="AG107" s="22" t="s">
        <v>1009</v>
      </c>
      <c r="AH107" s="22" t="s">
        <v>1010</v>
      </c>
      <c r="AI107" s="22" t="s">
        <v>198</v>
      </c>
    </row>
    <row r="108" spans="1:35" x14ac:dyDescent="0.25">
      <c r="K108" s="3"/>
      <c r="L108" s="20">
        <v>65</v>
      </c>
      <c r="M108">
        <v>980.54699999999991</v>
      </c>
      <c r="N108" s="3"/>
      <c r="V108" s="24">
        <v>52510</v>
      </c>
      <c r="W108" s="22" t="s">
        <v>189</v>
      </c>
      <c r="X108" s="22" t="s">
        <v>1011</v>
      </c>
      <c r="Y108" s="22" t="s">
        <v>1012</v>
      </c>
      <c r="Z108" s="22" t="s">
        <v>1013</v>
      </c>
      <c r="AA108" s="22" t="s">
        <v>1014</v>
      </c>
      <c r="AB108" s="22" t="s">
        <v>1015</v>
      </c>
      <c r="AC108" s="24">
        <v>40139</v>
      </c>
      <c r="AD108" s="24">
        <v>41821</v>
      </c>
      <c r="AE108" s="22" t="s">
        <v>1016</v>
      </c>
      <c r="AF108" s="22" t="s">
        <v>1017</v>
      </c>
      <c r="AG108" s="22" t="s">
        <v>1018</v>
      </c>
      <c r="AH108" s="22" t="s">
        <v>1019</v>
      </c>
      <c r="AI108" s="22" t="s">
        <v>198</v>
      </c>
    </row>
    <row r="109" spans="1:35" x14ac:dyDescent="0.25">
      <c r="K109" s="3"/>
      <c r="L109" s="20">
        <v>66</v>
      </c>
      <c r="M109">
        <v>980.00099999999998</v>
      </c>
      <c r="N109" s="3"/>
      <c r="V109" s="24">
        <v>53010</v>
      </c>
      <c r="W109" s="22" t="s">
        <v>189</v>
      </c>
      <c r="X109" s="22" t="s">
        <v>1020</v>
      </c>
      <c r="Y109" s="22" t="s">
        <v>1021</v>
      </c>
      <c r="Z109" s="22" t="s">
        <v>1022</v>
      </c>
      <c r="AA109" s="22" t="s">
        <v>1023</v>
      </c>
      <c r="AB109" s="22" t="s">
        <v>1024</v>
      </c>
      <c r="AC109" s="24">
        <v>40114</v>
      </c>
      <c r="AD109" s="24">
        <v>41823</v>
      </c>
      <c r="AE109" s="22" t="s">
        <v>1025</v>
      </c>
      <c r="AF109" s="22" t="s">
        <v>1026</v>
      </c>
      <c r="AG109" s="22" t="s">
        <v>1027</v>
      </c>
      <c r="AH109" s="22" t="s">
        <v>1028</v>
      </c>
      <c r="AI109" s="22" t="s">
        <v>198</v>
      </c>
    </row>
    <row r="110" spans="1:35" x14ac:dyDescent="0.25">
      <c r="K110" s="3"/>
      <c r="L110" s="20">
        <v>67</v>
      </c>
      <c r="M110">
        <v>979.44900000000007</v>
      </c>
      <c r="N110" s="3"/>
      <c r="V110" s="24">
        <v>53510</v>
      </c>
      <c r="W110" s="22" t="s">
        <v>189</v>
      </c>
      <c r="X110" s="22" t="s">
        <v>1029</v>
      </c>
      <c r="Y110" s="22" t="s">
        <v>1030</v>
      </c>
      <c r="Z110" s="22" t="s">
        <v>1031</v>
      </c>
      <c r="AA110" s="22" t="s">
        <v>1032</v>
      </c>
      <c r="AB110" s="22" t="s">
        <v>1033</v>
      </c>
      <c r="AC110" s="24">
        <v>40090</v>
      </c>
      <c r="AD110" s="24">
        <v>41824</v>
      </c>
      <c r="AE110" s="22" t="s">
        <v>1034</v>
      </c>
      <c r="AF110" s="22" t="s">
        <v>1035</v>
      </c>
      <c r="AG110" s="22" t="s">
        <v>1036</v>
      </c>
      <c r="AH110" s="22" t="s">
        <v>1037</v>
      </c>
      <c r="AI110" s="22" t="s">
        <v>198</v>
      </c>
    </row>
    <row r="111" spans="1:35" x14ac:dyDescent="0.25">
      <c r="K111" s="3"/>
      <c r="L111" s="20">
        <v>68</v>
      </c>
      <c r="M111">
        <v>978.80100000000004</v>
      </c>
      <c r="N111" s="3"/>
      <c r="V111" s="24">
        <v>54010</v>
      </c>
      <c r="W111" s="22" t="s">
        <v>189</v>
      </c>
      <c r="X111" s="22" t="s">
        <v>1038</v>
      </c>
      <c r="Y111" s="22" t="s">
        <v>1039</v>
      </c>
      <c r="Z111" s="22" t="s">
        <v>1040</v>
      </c>
      <c r="AA111" s="22" t="s">
        <v>1041</v>
      </c>
      <c r="AB111" s="22" t="s">
        <v>1042</v>
      </c>
      <c r="AC111" s="24">
        <v>40065</v>
      </c>
      <c r="AD111" s="24">
        <v>41826</v>
      </c>
      <c r="AE111" s="22" t="s">
        <v>1043</v>
      </c>
      <c r="AF111" s="22" t="s">
        <v>1044</v>
      </c>
      <c r="AG111" s="22" t="s">
        <v>1045</v>
      </c>
      <c r="AH111" s="22" t="s">
        <v>1046</v>
      </c>
      <c r="AI111" s="22" t="s">
        <v>198</v>
      </c>
    </row>
    <row r="112" spans="1:35" x14ac:dyDescent="0.25">
      <c r="K112" s="3"/>
      <c r="L112" s="20">
        <v>69</v>
      </c>
      <c r="M112">
        <v>978.32899999999995</v>
      </c>
      <c r="N112" s="3"/>
      <c r="V112" s="24">
        <v>54510</v>
      </c>
      <c r="W112" s="22" t="s">
        <v>189</v>
      </c>
      <c r="X112" s="22" t="s">
        <v>1047</v>
      </c>
      <c r="Y112" s="22" t="s">
        <v>1048</v>
      </c>
      <c r="Z112" s="22" t="s">
        <v>1049</v>
      </c>
      <c r="AA112" s="22" t="s">
        <v>1050</v>
      </c>
      <c r="AB112" s="22" t="s">
        <v>1051</v>
      </c>
      <c r="AC112" s="24">
        <v>40040</v>
      </c>
      <c r="AD112" s="24">
        <v>41828</v>
      </c>
      <c r="AE112" s="22" t="s">
        <v>1052</v>
      </c>
      <c r="AF112" s="22" t="s">
        <v>1053</v>
      </c>
      <c r="AG112" s="22" t="s">
        <v>1054</v>
      </c>
      <c r="AH112" s="22" t="s">
        <v>1055</v>
      </c>
      <c r="AI112" s="22" t="s">
        <v>198</v>
      </c>
    </row>
    <row r="113" spans="11:35" x14ac:dyDescent="0.25">
      <c r="K113" s="3"/>
      <c r="L113" s="20">
        <v>70</v>
      </c>
      <c r="M113">
        <v>977.76</v>
      </c>
      <c r="N113" s="3"/>
      <c r="V113" s="24">
        <v>55010</v>
      </c>
      <c r="W113" s="22" t="s">
        <v>189</v>
      </c>
      <c r="X113" s="22" t="s">
        <v>1056</v>
      </c>
      <c r="Y113" s="22" t="s">
        <v>1057</v>
      </c>
      <c r="Z113" s="22" t="s">
        <v>1058</v>
      </c>
      <c r="AA113" s="22" t="s">
        <v>1059</v>
      </c>
      <c r="AB113" s="22" t="s">
        <v>1060</v>
      </c>
      <c r="AC113" s="24">
        <v>40015</v>
      </c>
      <c r="AD113" s="24">
        <v>41830</v>
      </c>
      <c r="AE113" s="22" t="s">
        <v>1061</v>
      </c>
      <c r="AF113" s="22" t="s">
        <v>1062</v>
      </c>
      <c r="AG113" s="22" t="s">
        <v>1063</v>
      </c>
      <c r="AH113" s="22" t="s">
        <v>1064</v>
      </c>
      <c r="AI113" s="22" t="s">
        <v>198</v>
      </c>
    </row>
    <row r="114" spans="11:35" x14ac:dyDescent="0.25">
      <c r="K114" s="3"/>
      <c r="L114" s="20">
        <v>71</v>
      </c>
      <c r="M114">
        <v>977.18700000000001</v>
      </c>
      <c r="N114" s="3"/>
      <c r="V114" s="24">
        <v>55510</v>
      </c>
      <c r="W114" s="22" t="s">
        <v>189</v>
      </c>
      <c r="X114" s="22" t="s">
        <v>1065</v>
      </c>
      <c r="Y114" s="22" t="s">
        <v>1066</v>
      </c>
      <c r="Z114" s="22" t="s">
        <v>1067</v>
      </c>
      <c r="AA114" s="22" t="s">
        <v>1068</v>
      </c>
      <c r="AB114" s="22" t="s">
        <v>1069</v>
      </c>
      <c r="AC114" s="24">
        <v>39990</v>
      </c>
      <c r="AD114" s="24">
        <v>41831</v>
      </c>
      <c r="AE114" s="22" t="s">
        <v>1070</v>
      </c>
      <c r="AF114" s="22" t="s">
        <v>1071</v>
      </c>
      <c r="AG114" s="22" t="s">
        <v>1072</v>
      </c>
      <c r="AH114" s="22" t="s">
        <v>1073</v>
      </c>
      <c r="AI114" s="22" t="s">
        <v>198</v>
      </c>
    </row>
    <row r="115" spans="11:35" x14ac:dyDescent="0.25">
      <c r="K115" s="3"/>
      <c r="L115" s="20">
        <v>72</v>
      </c>
      <c r="M115">
        <v>976.60800000000006</v>
      </c>
      <c r="N115" s="3"/>
      <c r="V115" s="24">
        <v>56010</v>
      </c>
      <c r="W115" s="22" t="s">
        <v>189</v>
      </c>
      <c r="X115" s="22" t="s">
        <v>1074</v>
      </c>
      <c r="Y115" s="22" t="s">
        <v>1075</v>
      </c>
      <c r="Z115" s="22" t="s">
        <v>1076</v>
      </c>
      <c r="AA115" s="22" t="s">
        <v>1077</v>
      </c>
      <c r="AB115" s="22" t="s">
        <v>1078</v>
      </c>
      <c r="AC115" s="24">
        <v>39965</v>
      </c>
      <c r="AD115" s="24">
        <v>41833</v>
      </c>
      <c r="AE115" s="22" t="s">
        <v>1079</v>
      </c>
      <c r="AF115" s="22" t="s">
        <v>1080</v>
      </c>
      <c r="AG115" s="22" t="s">
        <v>1081</v>
      </c>
      <c r="AH115" s="22" t="s">
        <v>1082</v>
      </c>
      <c r="AI115" s="22" t="s">
        <v>198</v>
      </c>
    </row>
    <row r="116" spans="11:35" x14ac:dyDescent="0.25">
      <c r="K116" s="3"/>
      <c r="L116" s="20">
        <v>73</v>
      </c>
      <c r="M116">
        <v>976.024</v>
      </c>
      <c r="N116" s="3"/>
      <c r="V116" s="24">
        <v>56510</v>
      </c>
      <c r="W116" s="22" t="s">
        <v>189</v>
      </c>
      <c r="X116" s="22" t="s">
        <v>1083</v>
      </c>
      <c r="Y116" s="22" t="s">
        <v>1084</v>
      </c>
      <c r="Z116" s="22" t="s">
        <v>1085</v>
      </c>
      <c r="AA116" s="22" t="s">
        <v>1086</v>
      </c>
      <c r="AB116" s="22" t="s">
        <v>1087</v>
      </c>
      <c r="AC116" s="24">
        <v>39940</v>
      </c>
      <c r="AD116" s="24">
        <v>41835</v>
      </c>
      <c r="AE116" s="22" t="s">
        <v>1088</v>
      </c>
      <c r="AF116" s="22" t="s">
        <v>1089</v>
      </c>
      <c r="AG116" s="22" t="s">
        <v>1090</v>
      </c>
      <c r="AH116" s="22" t="s">
        <v>1091</v>
      </c>
      <c r="AI116" s="22" t="s">
        <v>198</v>
      </c>
    </row>
    <row r="117" spans="11:35" x14ac:dyDescent="0.25">
      <c r="K117" s="3"/>
      <c r="L117" s="20">
        <v>74</v>
      </c>
      <c r="M117">
        <v>975.43399999999997</v>
      </c>
      <c r="N117" s="3"/>
      <c r="V117" s="24">
        <v>57010</v>
      </c>
      <c r="W117" s="22" t="s">
        <v>189</v>
      </c>
      <c r="X117" s="22" t="s">
        <v>1092</v>
      </c>
      <c r="Y117" s="22" t="s">
        <v>1093</v>
      </c>
      <c r="Z117" s="22" t="s">
        <v>1094</v>
      </c>
      <c r="AA117" s="22" t="s">
        <v>1095</v>
      </c>
      <c r="AB117" s="22" t="s">
        <v>1096</v>
      </c>
      <c r="AC117" s="24">
        <v>39915</v>
      </c>
      <c r="AD117" s="24">
        <v>41837</v>
      </c>
      <c r="AE117" s="22" t="s">
        <v>1097</v>
      </c>
      <c r="AF117" s="22" t="s">
        <v>1098</v>
      </c>
      <c r="AG117" s="22" t="s">
        <v>1099</v>
      </c>
      <c r="AH117" s="22" t="s">
        <v>1100</v>
      </c>
      <c r="AI117" s="22" t="s">
        <v>198</v>
      </c>
    </row>
    <row r="118" spans="11:35" x14ac:dyDescent="0.25">
      <c r="K118" s="3"/>
      <c r="L118" s="20">
        <v>75</v>
      </c>
      <c r="M118">
        <v>974.84</v>
      </c>
      <c r="N118" s="3"/>
      <c r="V118" s="24">
        <v>57510</v>
      </c>
      <c r="W118" s="22" t="s">
        <v>189</v>
      </c>
      <c r="X118" s="22" t="s">
        <v>1101</v>
      </c>
      <c r="Y118" s="22" t="s">
        <v>1102</v>
      </c>
      <c r="Z118" s="22" t="s">
        <v>1103</v>
      </c>
      <c r="AA118" s="22" t="s">
        <v>1104</v>
      </c>
      <c r="AB118" s="22" t="s">
        <v>1105</v>
      </c>
      <c r="AC118" s="24">
        <v>39890</v>
      </c>
      <c r="AD118" s="24">
        <v>41839</v>
      </c>
      <c r="AE118" s="22" t="s">
        <v>1106</v>
      </c>
      <c r="AF118" s="22" t="s">
        <v>1107</v>
      </c>
      <c r="AG118" s="22" t="s">
        <v>1108</v>
      </c>
      <c r="AH118" s="22" t="s">
        <v>1109</v>
      </c>
      <c r="AI118" s="22" t="s">
        <v>198</v>
      </c>
    </row>
    <row r="119" spans="11:35" x14ac:dyDescent="0.25">
      <c r="K119" s="3"/>
      <c r="L119" s="20">
        <v>76</v>
      </c>
      <c r="M119">
        <v>974.24</v>
      </c>
      <c r="N119" s="3"/>
      <c r="V119" s="24">
        <v>58010</v>
      </c>
      <c r="W119" s="22" t="s">
        <v>189</v>
      </c>
      <c r="X119" s="22" t="s">
        <v>1110</v>
      </c>
      <c r="Y119" s="22" t="s">
        <v>1111</v>
      </c>
      <c r="Z119" s="22" t="s">
        <v>1112</v>
      </c>
      <c r="AA119" s="22" t="s">
        <v>1113</v>
      </c>
      <c r="AB119" s="22" t="s">
        <v>1114</v>
      </c>
      <c r="AC119" s="24">
        <v>39865</v>
      </c>
      <c r="AD119" s="24">
        <v>41841</v>
      </c>
      <c r="AE119" s="22" t="s">
        <v>1115</v>
      </c>
      <c r="AF119" s="22" t="s">
        <v>1116</v>
      </c>
      <c r="AG119" s="22" t="s">
        <v>1117</v>
      </c>
      <c r="AH119" s="22" t="s">
        <v>1118</v>
      </c>
      <c r="AI119" s="22" t="s">
        <v>198</v>
      </c>
    </row>
    <row r="120" spans="11:35" x14ac:dyDescent="0.25">
      <c r="K120" s="3"/>
      <c r="L120" s="20">
        <v>77</v>
      </c>
      <c r="M120">
        <v>973.63499999999999</v>
      </c>
      <c r="N120" s="3"/>
      <c r="V120" s="24">
        <v>58510</v>
      </c>
      <c r="W120" s="22" t="s">
        <v>189</v>
      </c>
      <c r="X120" s="22" t="s">
        <v>1119</v>
      </c>
      <c r="Y120" s="22" t="s">
        <v>1120</v>
      </c>
      <c r="Z120" s="22" t="s">
        <v>1121</v>
      </c>
      <c r="AA120" s="22" t="s">
        <v>1122</v>
      </c>
      <c r="AB120" s="22" t="s">
        <v>1123</v>
      </c>
      <c r="AC120" s="24">
        <v>39840</v>
      </c>
      <c r="AD120" s="24">
        <v>41843</v>
      </c>
      <c r="AE120" s="22" t="s">
        <v>1124</v>
      </c>
      <c r="AF120" s="22" t="s">
        <v>1125</v>
      </c>
      <c r="AG120" s="22" t="s">
        <v>1126</v>
      </c>
      <c r="AH120" s="22" t="s">
        <v>1127</v>
      </c>
      <c r="AI120" s="22" t="s">
        <v>198</v>
      </c>
    </row>
    <row r="121" spans="11:35" x14ac:dyDescent="0.25">
      <c r="K121" s="3"/>
      <c r="L121" s="20">
        <v>78</v>
      </c>
      <c r="M121">
        <v>973.02499999999998</v>
      </c>
      <c r="N121" s="3"/>
      <c r="V121" s="24">
        <v>59010</v>
      </c>
      <c r="W121" s="22" t="s">
        <v>189</v>
      </c>
      <c r="X121" s="22" t="s">
        <v>1128</v>
      </c>
      <c r="Y121" s="22" t="s">
        <v>1129</v>
      </c>
      <c r="Z121" s="22" t="s">
        <v>1130</v>
      </c>
      <c r="AA121" s="22" t="s">
        <v>1131</v>
      </c>
      <c r="AB121" s="22" t="s">
        <v>1132</v>
      </c>
      <c r="AC121" s="24">
        <v>39815</v>
      </c>
      <c r="AD121" s="24">
        <v>41845</v>
      </c>
      <c r="AE121" s="22" t="s">
        <v>1133</v>
      </c>
      <c r="AF121" s="22" t="s">
        <v>1134</v>
      </c>
      <c r="AG121" s="22" t="s">
        <v>1135</v>
      </c>
      <c r="AH121" s="22" t="s">
        <v>1136</v>
      </c>
      <c r="AI121" s="22" t="s">
        <v>198</v>
      </c>
    </row>
    <row r="122" spans="11:35" x14ac:dyDescent="0.25">
      <c r="K122" s="3"/>
      <c r="L122" s="20">
        <v>79</v>
      </c>
      <c r="M122">
        <v>972.41</v>
      </c>
      <c r="N122" s="3"/>
      <c r="V122" s="24">
        <v>59510</v>
      </c>
      <c r="W122" s="22" t="s">
        <v>189</v>
      </c>
      <c r="X122" s="22" t="s">
        <v>1137</v>
      </c>
      <c r="Y122" s="22" t="s">
        <v>1138</v>
      </c>
      <c r="Z122" s="22" t="s">
        <v>1139</v>
      </c>
      <c r="AA122" s="22" t="s">
        <v>1140</v>
      </c>
      <c r="AB122" s="22" t="s">
        <v>1141</v>
      </c>
      <c r="AC122" s="24">
        <v>39789</v>
      </c>
      <c r="AD122" s="24">
        <v>41847</v>
      </c>
      <c r="AE122" s="22" t="s">
        <v>1142</v>
      </c>
      <c r="AF122" s="22" t="s">
        <v>1143</v>
      </c>
      <c r="AG122" s="22" t="s">
        <v>1144</v>
      </c>
      <c r="AH122" s="22" t="s">
        <v>1145</v>
      </c>
      <c r="AI122" s="22" t="s">
        <v>198</v>
      </c>
    </row>
    <row r="123" spans="11:35" x14ac:dyDescent="0.25">
      <c r="K123" s="3"/>
      <c r="L123" s="20">
        <v>80</v>
      </c>
      <c r="M123">
        <v>971.79000000000008</v>
      </c>
      <c r="N123" s="3"/>
      <c r="V123" s="24">
        <v>60010</v>
      </c>
      <c r="W123" s="22" t="s">
        <v>189</v>
      </c>
      <c r="X123" s="22" t="s">
        <v>1146</v>
      </c>
      <c r="Y123" s="22" t="s">
        <v>1147</v>
      </c>
      <c r="Z123" s="22" t="s">
        <v>1148</v>
      </c>
      <c r="AA123" s="22" t="s">
        <v>1149</v>
      </c>
      <c r="AB123" s="22" t="s">
        <v>1150</v>
      </c>
      <c r="AC123" s="24">
        <v>39764</v>
      </c>
      <c r="AD123" s="24">
        <v>41850</v>
      </c>
      <c r="AE123" s="22" t="s">
        <v>1151</v>
      </c>
      <c r="AF123" s="22" t="s">
        <v>1152</v>
      </c>
      <c r="AG123" s="22" t="s">
        <v>1153</v>
      </c>
      <c r="AH123" s="22" t="s">
        <v>1154</v>
      </c>
      <c r="AI123" s="22" t="s">
        <v>198</v>
      </c>
    </row>
    <row r="124" spans="11:35" x14ac:dyDescent="0.25">
      <c r="K124" s="3"/>
      <c r="L124" s="20">
        <v>81</v>
      </c>
      <c r="M124">
        <v>971.16399999999999</v>
      </c>
      <c r="N124" s="3"/>
      <c r="V124" s="24">
        <v>60510</v>
      </c>
      <c r="W124" s="22" t="s">
        <v>189</v>
      </c>
      <c r="X124" s="22" t="s">
        <v>1155</v>
      </c>
      <c r="Y124" s="22" t="s">
        <v>1156</v>
      </c>
      <c r="Z124" s="22" t="s">
        <v>1157</v>
      </c>
      <c r="AA124" s="22" t="s">
        <v>1158</v>
      </c>
      <c r="AB124" s="22" t="s">
        <v>1159</v>
      </c>
      <c r="AC124" s="24">
        <v>39739</v>
      </c>
      <c r="AD124" s="24">
        <v>41852</v>
      </c>
      <c r="AE124" s="22" t="s">
        <v>1160</v>
      </c>
      <c r="AF124" s="22" t="s">
        <v>1161</v>
      </c>
      <c r="AG124" s="22" t="s">
        <v>1162</v>
      </c>
      <c r="AH124" s="22" t="s">
        <v>1163</v>
      </c>
      <c r="AI124" s="22" t="s">
        <v>198</v>
      </c>
    </row>
    <row r="125" spans="11:35" x14ac:dyDescent="0.25">
      <c r="K125" s="3"/>
      <c r="L125" s="20">
        <v>82</v>
      </c>
      <c r="M125">
        <v>970.53399999999999</v>
      </c>
      <c r="N125" s="3"/>
      <c r="V125" s="24">
        <v>61010</v>
      </c>
      <c r="W125" s="22" t="s">
        <v>189</v>
      </c>
      <c r="X125" s="22" t="s">
        <v>1164</v>
      </c>
      <c r="Y125" s="22" t="s">
        <v>1165</v>
      </c>
      <c r="Z125" s="22" t="s">
        <v>1166</v>
      </c>
      <c r="AA125" s="22" t="s">
        <v>1167</v>
      </c>
      <c r="AB125" s="22" t="s">
        <v>1168</v>
      </c>
      <c r="AC125" s="24">
        <v>39713</v>
      </c>
      <c r="AD125" s="24">
        <v>41854</v>
      </c>
      <c r="AE125" s="22" t="s">
        <v>1169</v>
      </c>
      <c r="AF125" s="22" t="s">
        <v>1170</v>
      </c>
      <c r="AG125" s="22" t="s">
        <v>1171</v>
      </c>
      <c r="AH125" s="22" t="s">
        <v>1172</v>
      </c>
      <c r="AI125" s="22" t="s">
        <v>198</v>
      </c>
    </row>
    <row r="126" spans="11:35" x14ac:dyDescent="0.25">
      <c r="K126" s="3"/>
      <c r="L126" s="20">
        <v>83</v>
      </c>
      <c r="M126">
        <v>969.899</v>
      </c>
      <c r="N126" s="3"/>
      <c r="V126" s="24">
        <v>61510</v>
      </c>
      <c r="W126" s="22" t="s">
        <v>189</v>
      </c>
      <c r="X126" s="22" t="s">
        <v>1173</v>
      </c>
      <c r="Y126" s="22" t="s">
        <v>1174</v>
      </c>
      <c r="Z126" s="22" t="s">
        <v>1175</v>
      </c>
      <c r="AA126" s="22" t="s">
        <v>1176</v>
      </c>
      <c r="AB126" s="22" t="s">
        <v>1177</v>
      </c>
      <c r="AC126" s="24">
        <v>39688</v>
      </c>
      <c r="AD126" s="24">
        <v>41856</v>
      </c>
      <c r="AE126" s="22" t="s">
        <v>1178</v>
      </c>
      <c r="AF126" s="22" t="s">
        <v>1179</v>
      </c>
      <c r="AG126" s="22" t="s">
        <v>1180</v>
      </c>
      <c r="AH126" s="22" t="s">
        <v>1181</v>
      </c>
      <c r="AI126" s="22" t="s">
        <v>198</v>
      </c>
    </row>
    <row r="127" spans="11:35" x14ac:dyDescent="0.25">
      <c r="K127" s="3"/>
      <c r="L127" s="20">
        <v>84</v>
      </c>
      <c r="M127">
        <v>969.25900000000001</v>
      </c>
      <c r="N127" s="3"/>
      <c r="V127" s="24">
        <v>62010</v>
      </c>
      <c r="W127" s="22" t="s">
        <v>189</v>
      </c>
      <c r="X127" s="22" t="s">
        <v>1182</v>
      </c>
      <c r="Y127" s="22" t="s">
        <v>1183</v>
      </c>
      <c r="Z127" s="22" t="s">
        <v>1184</v>
      </c>
      <c r="AA127" s="22" t="s">
        <v>1185</v>
      </c>
      <c r="AB127" s="22" t="s">
        <v>1186</v>
      </c>
      <c r="AC127" s="24">
        <v>39662</v>
      </c>
      <c r="AD127" s="24">
        <v>41859</v>
      </c>
      <c r="AE127" s="22" t="s">
        <v>1187</v>
      </c>
      <c r="AF127" s="22" t="s">
        <v>1188</v>
      </c>
      <c r="AG127" s="22" t="s">
        <v>1189</v>
      </c>
      <c r="AH127" s="22" t="s">
        <v>1190</v>
      </c>
      <c r="AI127" s="22" t="s">
        <v>198</v>
      </c>
    </row>
    <row r="128" spans="11:35" x14ac:dyDescent="0.25">
      <c r="K128" s="3"/>
      <c r="L128" s="20">
        <v>85</v>
      </c>
      <c r="M128">
        <v>968.61399999999992</v>
      </c>
      <c r="N128" s="3"/>
      <c r="V128" s="24">
        <v>62510</v>
      </c>
      <c r="W128" s="22" t="s">
        <v>189</v>
      </c>
      <c r="X128" s="22" t="s">
        <v>1191</v>
      </c>
      <c r="Y128" s="22" t="s">
        <v>1192</v>
      </c>
      <c r="Z128" s="22" t="s">
        <v>1193</v>
      </c>
      <c r="AA128" s="22" t="s">
        <v>1194</v>
      </c>
      <c r="AB128" s="22" t="s">
        <v>1195</v>
      </c>
      <c r="AC128" s="24">
        <v>39637</v>
      </c>
      <c r="AD128" s="24">
        <v>41861</v>
      </c>
      <c r="AE128" s="22" t="s">
        <v>1196</v>
      </c>
      <c r="AF128" s="22" t="s">
        <v>1197</v>
      </c>
      <c r="AG128" s="22" t="s">
        <v>1198</v>
      </c>
      <c r="AH128" s="22" t="s">
        <v>1199</v>
      </c>
      <c r="AI128" s="22" t="s">
        <v>198</v>
      </c>
    </row>
    <row r="129" spans="11:35" x14ac:dyDescent="0.25">
      <c r="K129" s="3"/>
      <c r="L129" s="20">
        <v>86</v>
      </c>
      <c r="M129">
        <v>967.96499999999992</v>
      </c>
      <c r="N129" s="3"/>
      <c r="V129" s="24">
        <v>63010</v>
      </c>
      <c r="W129" s="22" t="s">
        <v>189</v>
      </c>
      <c r="X129" s="22" t="s">
        <v>1200</v>
      </c>
      <c r="Y129" s="22" t="s">
        <v>1201</v>
      </c>
      <c r="Z129" s="22" t="s">
        <v>1202</v>
      </c>
      <c r="AA129" s="22" t="s">
        <v>1203</v>
      </c>
      <c r="AB129" s="22" t="s">
        <v>1204</v>
      </c>
      <c r="AC129" s="24">
        <v>39611</v>
      </c>
      <c r="AD129" s="24">
        <v>41863</v>
      </c>
      <c r="AE129" s="22" t="s">
        <v>1205</v>
      </c>
      <c r="AF129" s="22" t="s">
        <v>1206</v>
      </c>
      <c r="AG129" s="22" t="s">
        <v>1207</v>
      </c>
      <c r="AH129" s="22" t="s">
        <v>1208</v>
      </c>
      <c r="AI129" s="22" t="s">
        <v>198</v>
      </c>
    </row>
    <row r="130" spans="11:35" x14ac:dyDescent="0.25">
      <c r="K130" s="3"/>
      <c r="L130" s="20">
        <v>87</v>
      </c>
      <c r="M130">
        <v>967.31000000000006</v>
      </c>
      <c r="N130" s="3"/>
      <c r="V130" s="24">
        <v>63510</v>
      </c>
      <c r="W130" s="22" t="s">
        <v>189</v>
      </c>
      <c r="X130" s="22" t="s">
        <v>1209</v>
      </c>
      <c r="Y130" s="22" t="s">
        <v>1210</v>
      </c>
      <c r="Z130" s="22" t="s">
        <v>1211</v>
      </c>
      <c r="AA130" s="22" t="s">
        <v>1212</v>
      </c>
      <c r="AB130" s="22" t="s">
        <v>1213</v>
      </c>
      <c r="AC130" s="24">
        <v>39586</v>
      </c>
      <c r="AD130" s="24">
        <v>41866</v>
      </c>
      <c r="AE130" s="22" t="s">
        <v>1214</v>
      </c>
      <c r="AF130" s="22" t="s">
        <v>1215</v>
      </c>
      <c r="AG130" s="22" t="s">
        <v>1216</v>
      </c>
      <c r="AH130" s="22" t="s">
        <v>1217</v>
      </c>
      <c r="AI130" s="22" t="s">
        <v>198</v>
      </c>
    </row>
    <row r="131" spans="11:35" x14ac:dyDescent="0.25">
      <c r="K131" s="3"/>
      <c r="L131" s="20">
        <v>88</v>
      </c>
      <c r="M131">
        <v>966.65100000000007</v>
      </c>
      <c r="N131" s="3"/>
      <c r="V131" s="24">
        <v>64010</v>
      </c>
      <c r="W131" s="22" t="s">
        <v>189</v>
      </c>
      <c r="X131" s="22" t="s">
        <v>1218</v>
      </c>
      <c r="Y131" s="22" t="s">
        <v>1219</v>
      </c>
      <c r="Z131" s="22" t="s">
        <v>1220</v>
      </c>
      <c r="AA131" s="22" t="s">
        <v>1221</v>
      </c>
      <c r="AB131" s="22" t="s">
        <v>1222</v>
      </c>
      <c r="AC131" s="24">
        <v>39560</v>
      </c>
      <c r="AD131" s="24">
        <v>41868</v>
      </c>
      <c r="AE131" s="22" t="s">
        <v>1223</v>
      </c>
      <c r="AF131" s="22" t="s">
        <v>1224</v>
      </c>
      <c r="AG131" s="22" t="s">
        <v>1225</v>
      </c>
      <c r="AH131" s="22" t="s">
        <v>1226</v>
      </c>
      <c r="AI131" s="22" t="s">
        <v>198</v>
      </c>
    </row>
    <row r="132" spans="11:35" x14ac:dyDescent="0.25">
      <c r="K132" s="3"/>
      <c r="L132" s="20">
        <v>89</v>
      </c>
      <c r="M132">
        <v>965.98599999999999</v>
      </c>
      <c r="N132" s="3"/>
      <c r="V132" s="24">
        <v>64510</v>
      </c>
      <c r="W132" s="22" t="s">
        <v>189</v>
      </c>
      <c r="X132" s="22" t="s">
        <v>1227</v>
      </c>
      <c r="Y132" s="22" t="s">
        <v>1228</v>
      </c>
      <c r="Z132" s="22" t="s">
        <v>1229</v>
      </c>
      <c r="AA132" s="22" t="s">
        <v>1230</v>
      </c>
      <c r="AB132" s="22" t="s">
        <v>1231</v>
      </c>
      <c r="AC132" s="24">
        <v>39535</v>
      </c>
      <c r="AD132" s="24">
        <v>41871</v>
      </c>
      <c r="AE132" s="22" t="s">
        <v>1232</v>
      </c>
      <c r="AF132" s="22" t="s">
        <v>1233</v>
      </c>
      <c r="AG132" s="22" t="s">
        <v>1234</v>
      </c>
      <c r="AH132" s="22" t="s">
        <v>1235</v>
      </c>
      <c r="AI132" s="22" t="s">
        <v>198</v>
      </c>
    </row>
    <row r="133" spans="11:35" x14ac:dyDescent="0.25">
      <c r="K133" s="3"/>
      <c r="L133" s="20">
        <v>90</v>
      </c>
      <c r="M133">
        <v>965.31799999999998</v>
      </c>
      <c r="N133" s="3"/>
      <c r="V133" s="24">
        <v>65010</v>
      </c>
      <c r="W133" s="22" t="s">
        <v>189</v>
      </c>
      <c r="X133" s="22" t="s">
        <v>1236</v>
      </c>
      <c r="Y133" s="22" t="s">
        <v>1237</v>
      </c>
      <c r="Z133" s="22" t="s">
        <v>1238</v>
      </c>
      <c r="AA133" s="22" t="s">
        <v>1239</v>
      </c>
      <c r="AB133" s="22" t="s">
        <v>1240</v>
      </c>
      <c r="AC133" s="24">
        <v>39509</v>
      </c>
      <c r="AD133" s="24">
        <v>41873</v>
      </c>
      <c r="AE133" s="22" t="s">
        <v>1241</v>
      </c>
      <c r="AF133" s="22" t="s">
        <v>1242</v>
      </c>
      <c r="AG133" s="22" t="s">
        <v>1243</v>
      </c>
      <c r="AH133" s="22" t="s">
        <v>1244</v>
      </c>
      <c r="AI133" s="22" t="s">
        <v>198</v>
      </c>
    </row>
    <row r="134" spans="11:35" x14ac:dyDescent="0.25">
      <c r="K134" s="3"/>
      <c r="L134" s="20">
        <v>91</v>
      </c>
      <c r="M134">
        <v>964.64399999999989</v>
      </c>
      <c r="N134" s="3"/>
      <c r="V134" s="24">
        <v>65510</v>
      </c>
      <c r="W134" s="22" t="s">
        <v>189</v>
      </c>
      <c r="X134" s="22" t="s">
        <v>1245</v>
      </c>
      <c r="Y134" s="22" t="s">
        <v>1246</v>
      </c>
      <c r="Z134" s="22" t="s">
        <v>1247</v>
      </c>
      <c r="AA134" s="22" t="s">
        <v>1248</v>
      </c>
      <c r="AB134" s="22" t="s">
        <v>1249</v>
      </c>
      <c r="AC134" s="24">
        <v>39483</v>
      </c>
      <c r="AD134" s="24">
        <v>41876</v>
      </c>
      <c r="AE134" s="22" t="s">
        <v>1250</v>
      </c>
      <c r="AF134" s="22" t="s">
        <v>1251</v>
      </c>
      <c r="AG134" s="22" t="s">
        <v>1252</v>
      </c>
      <c r="AH134" s="22" t="s">
        <v>1253</v>
      </c>
      <c r="AI134" s="22" t="s">
        <v>198</v>
      </c>
    </row>
    <row r="135" spans="11:35" x14ac:dyDescent="0.25">
      <c r="K135" s="3"/>
      <c r="L135" s="20">
        <v>92</v>
      </c>
      <c r="M135">
        <v>963.96499999999992</v>
      </c>
      <c r="N135" s="3"/>
      <c r="V135" s="24">
        <v>66010</v>
      </c>
      <c r="W135" s="22" t="s">
        <v>189</v>
      </c>
      <c r="X135" s="22" t="s">
        <v>1254</v>
      </c>
      <c r="Y135" s="22" t="s">
        <v>1255</v>
      </c>
      <c r="Z135" s="22" t="s">
        <v>1256</v>
      </c>
      <c r="AA135" s="22" t="s">
        <v>1257</v>
      </c>
      <c r="AB135" s="22" t="s">
        <v>1258</v>
      </c>
      <c r="AC135" s="24">
        <v>39457</v>
      </c>
      <c r="AD135" s="24">
        <v>41878</v>
      </c>
      <c r="AE135" s="22" t="s">
        <v>1259</v>
      </c>
      <c r="AF135" s="22" t="s">
        <v>1260</v>
      </c>
      <c r="AG135" s="22" t="s">
        <v>1261</v>
      </c>
      <c r="AH135" s="22" t="s">
        <v>1262</v>
      </c>
      <c r="AI135" s="22" t="s">
        <v>198</v>
      </c>
    </row>
    <row r="136" spans="11:35" x14ac:dyDescent="0.25">
      <c r="K136" s="3"/>
      <c r="L136" s="20">
        <v>93</v>
      </c>
      <c r="M136">
        <v>963.28199999999993</v>
      </c>
      <c r="N136" s="3"/>
      <c r="V136" s="24">
        <v>66510</v>
      </c>
      <c r="W136" s="22" t="s">
        <v>189</v>
      </c>
      <c r="X136" s="22" t="s">
        <v>1263</v>
      </c>
      <c r="Y136" s="22" t="s">
        <v>1264</v>
      </c>
      <c r="Z136" s="22" t="s">
        <v>1265</v>
      </c>
      <c r="AA136" s="22" t="s">
        <v>1266</v>
      </c>
      <c r="AB136" s="22" t="s">
        <v>1267</v>
      </c>
      <c r="AC136" s="24">
        <v>39432</v>
      </c>
      <c r="AD136" s="24">
        <v>41881</v>
      </c>
      <c r="AE136" s="22" t="s">
        <v>1268</v>
      </c>
      <c r="AF136" s="22" t="s">
        <v>1269</v>
      </c>
      <c r="AG136" s="22" t="s">
        <v>1270</v>
      </c>
      <c r="AH136" s="22" t="s">
        <v>1271</v>
      </c>
      <c r="AI136" s="22" t="s">
        <v>198</v>
      </c>
    </row>
    <row r="137" spans="11:35" x14ac:dyDescent="0.25">
      <c r="K137" s="3"/>
      <c r="L137" s="20">
        <v>94</v>
      </c>
      <c r="M137">
        <v>962.59399999999994</v>
      </c>
      <c r="N137" s="3"/>
      <c r="V137" s="24">
        <v>67010</v>
      </c>
      <c r="W137" s="22" t="s">
        <v>189</v>
      </c>
      <c r="X137" s="22" t="s">
        <v>1272</v>
      </c>
      <c r="Y137" s="22" t="s">
        <v>1273</v>
      </c>
      <c r="Z137" s="22" t="s">
        <v>1274</v>
      </c>
      <c r="AA137" s="22" t="s">
        <v>1275</v>
      </c>
      <c r="AB137" s="22" t="s">
        <v>1276</v>
      </c>
      <c r="AC137" s="24">
        <v>39406</v>
      </c>
      <c r="AD137" s="24">
        <v>41884</v>
      </c>
      <c r="AE137" s="22" t="s">
        <v>1277</v>
      </c>
      <c r="AF137" s="22" t="s">
        <v>1278</v>
      </c>
      <c r="AG137" s="22" t="s">
        <v>1279</v>
      </c>
      <c r="AH137" s="22" t="s">
        <v>1280</v>
      </c>
      <c r="AI137" s="22" t="s">
        <v>198</v>
      </c>
    </row>
    <row r="138" spans="11:35" x14ac:dyDescent="0.25">
      <c r="K138" s="3"/>
      <c r="L138" s="20">
        <v>95</v>
      </c>
      <c r="M138">
        <v>961.90099999999995</v>
      </c>
      <c r="N138" s="3"/>
      <c r="V138" s="24">
        <v>67510</v>
      </c>
      <c r="W138" s="22" t="s">
        <v>189</v>
      </c>
      <c r="X138" s="22" t="s">
        <v>1281</v>
      </c>
      <c r="Y138" s="22" t="s">
        <v>1282</v>
      </c>
      <c r="Z138" s="22" t="s">
        <v>1283</v>
      </c>
      <c r="AA138" s="22" t="s">
        <v>1284</v>
      </c>
      <c r="AB138" s="22" t="s">
        <v>1285</v>
      </c>
      <c r="AC138" s="24">
        <v>39380</v>
      </c>
      <c r="AD138" s="24">
        <v>41887</v>
      </c>
      <c r="AE138" s="22" t="s">
        <v>1286</v>
      </c>
      <c r="AF138" s="22" t="s">
        <v>1287</v>
      </c>
      <c r="AG138" s="22" t="s">
        <v>1288</v>
      </c>
      <c r="AH138" s="22" t="s">
        <v>1289</v>
      </c>
      <c r="AI138" s="22" t="s">
        <v>198</v>
      </c>
    </row>
    <row r="139" spans="11:35" x14ac:dyDescent="0.25">
      <c r="K139" s="3"/>
      <c r="L139" s="20">
        <v>96</v>
      </c>
      <c r="M139">
        <v>961.20299999999997</v>
      </c>
      <c r="N139" s="3"/>
      <c r="V139" s="24">
        <v>68010</v>
      </c>
      <c r="W139" s="22" t="s">
        <v>189</v>
      </c>
      <c r="X139" s="22" t="s">
        <v>1290</v>
      </c>
      <c r="Y139" s="22" t="s">
        <v>1291</v>
      </c>
      <c r="Z139" s="22" t="s">
        <v>1292</v>
      </c>
      <c r="AA139" s="22" t="s">
        <v>1293</v>
      </c>
      <c r="AB139" s="22" t="s">
        <v>1294</v>
      </c>
      <c r="AC139" s="24">
        <v>39354</v>
      </c>
      <c r="AD139" s="24">
        <v>41889</v>
      </c>
      <c r="AE139" s="22" t="s">
        <v>1295</v>
      </c>
      <c r="AF139" s="22" t="s">
        <v>1296</v>
      </c>
      <c r="AG139" s="22" t="s">
        <v>1297</v>
      </c>
      <c r="AH139" s="22" t="s">
        <v>1298</v>
      </c>
      <c r="AI139" s="22" t="s">
        <v>198</v>
      </c>
    </row>
    <row r="140" spans="11:35" x14ac:dyDescent="0.25">
      <c r="K140" s="3"/>
      <c r="L140" s="20">
        <v>97</v>
      </c>
      <c r="M140">
        <v>960.50100000000009</v>
      </c>
      <c r="N140" s="3"/>
      <c r="V140" s="24">
        <v>68510</v>
      </c>
      <c r="W140" s="22" t="s">
        <v>189</v>
      </c>
      <c r="X140" s="22" t="s">
        <v>1299</v>
      </c>
      <c r="Y140" s="22" t="s">
        <v>1300</v>
      </c>
      <c r="Z140" s="22" t="s">
        <v>1301</v>
      </c>
      <c r="AA140" s="22" t="s">
        <v>1302</v>
      </c>
      <c r="AB140" s="22" t="s">
        <v>1303</v>
      </c>
      <c r="AC140" s="24">
        <v>39328</v>
      </c>
      <c r="AD140" s="24">
        <v>41892</v>
      </c>
      <c r="AE140" s="22" t="s">
        <v>1304</v>
      </c>
      <c r="AF140" s="22" t="s">
        <v>1305</v>
      </c>
      <c r="AG140" s="22" t="s">
        <v>1306</v>
      </c>
      <c r="AH140" s="22" t="s">
        <v>1307</v>
      </c>
      <c r="AI140" s="22" t="s">
        <v>198</v>
      </c>
    </row>
    <row r="141" spans="11:35" x14ac:dyDescent="0.25">
      <c r="K141" s="3"/>
      <c r="L141" s="20">
        <v>98</v>
      </c>
      <c r="M141">
        <v>959.79399999999998</v>
      </c>
      <c r="N141" s="3"/>
      <c r="V141" s="24">
        <v>69010</v>
      </c>
      <c r="W141" s="22" t="s">
        <v>189</v>
      </c>
      <c r="X141" s="22" t="s">
        <v>1308</v>
      </c>
      <c r="Y141" s="22" t="s">
        <v>1309</v>
      </c>
      <c r="Z141" s="22" t="s">
        <v>1310</v>
      </c>
      <c r="AA141" s="22" t="s">
        <v>1311</v>
      </c>
      <c r="AB141" s="22" t="s">
        <v>1312</v>
      </c>
      <c r="AC141" s="24">
        <v>39302</v>
      </c>
      <c r="AD141" s="24">
        <v>41895</v>
      </c>
      <c r="AE141" s="22" t="s">
        <v>1313</v>
      </c>
      <c r="AF141" s="22" t="s">
        <v>1314</v>
      </c>
      <c r="AG141" s="22" t="s">
        <v>1315</v>
      </c>
      <c r="AH141" s="22" t="s">
        <v>1316</v>
      </c>
      <c r="AI141" s="22" t="s">
        <v>198</v>
      </c>
    </row>
    <row r="142" spans="11:35" x14ac:dyDescent="0.25">
      <c r="K142" s="3"/>
      <c r="L142" s="20">
        <v>99</v>
      </c>
      <c r="M142">
        <v>959.08299999999997</v>
      </c>
      <c r="N142" s="3"/>
      <c r="V142" s="24">
        <v>69510</v>
      </c>
      <c r="W142" s="22" t="s">
        <v>189</v>
      </c>
      <c r="X142" s="22" t="s">
        <v>1317</v>
      </c>
      <c r="Y142" s="22" t="s">
        <v>1318</v>
      </c>
      <c r="Z142" s="22" t="s">
        <v>1319</v>
      </c>
      <c r="AA142" s="22" t="s">
        <v>1320</v>
      </c>
      <c r="AB142" s="22" t="s">
        <v>1321</v>
      </c>
      <c r="AC142" s="24">
        <v>39276</v>
      </c>
      <c r="AD142" s="24">
        <v>41898</v>
      </c>
      <c r="AE142" s="22" t="s">
        <v>1322</v>
      </c>
      <c r="AF142" s="22" t="s">
        <v>1323</v>
      </c>
      <c r="AG142" s="22" t="s">
        <v>1324</v>
      </c>
      <c r="AH142" s="22" t="s">
        <v>1325</v>
      </c>
      <c r="AI142" s="22" t="s">
        <v>198</v>
      </c>
    </row>
    <row r="143" spans="11:35" x14ac:dyDescent="0.25">
      <c r="K143" s="3"/>
      <c r="L143" s="20">
        <v>100</v>
      </c>
      <c r="M143">
        <v>958.36699999999996</v>
      </c>
      <c r="N143" s="3"/>
      <c r="V143" s="24">
        <v>70010</v>
      </c>
      <c r="W143" s="22" t="s">
        <v>189</v>
      </c>
      <c r="X143" s="22" t="s">
        <v>1326</v>
      </c>
      <c r="Y143" s="22" t="s">
        <v>1327</v>
      </c>
      <c r="Z143" s="22" t="s">
        <v>1328</v>
      </c>
      <c r="AA143" s="22" t="s">
        <v>1329</v>
      </c>
      <c r="AB143" s="22" t="s">
        <v>1330</v>
      </c>
      <c r="AC143" s="24">
        <v>39250</v>
      </c>
      <c r="AD143" s="24">
        <v>41901</v>
      </c>
      <c r="AE143" s="22" t="s">
        <v>1322</v>
      </c>
      <c r="AF143" s="22" t="s">
        <v>1331</v>
      </c>
      <c r="AG143" s="22" t="s">
        <v>1332</v>
      </c>
      <c r="AH143" s="22" t="s">
        <v>1333</v>
      </c>
      <c r="AI143" s="22" t="s">
        <v>198</v>
      </c>
    </row>
    <row r="144" spans="11:35" x14ac:dyDescent="0.25">
      <c r="K144" s="3"/>
      <c r="L144" s="3"/>
      <c r="M144" s="3"/>
      <c r="N144" s="3"/>
      <c r="V144" s="24">
        <v>70510</v>
      </c>
      <c r="W144" s="22" t="s">
        <v>189</v>
      </c>
      <c r="X144" s="22" t="s">
        <v>1334</v>
      </c>
      <c r="Y144" s="22" t="s">
        <v>1335</v>
      </c>
      <c r="Z144" s="22" t="s">
        <v>1336</v>
      </c>
      <c r="AA144" s="22" t="s">
        <v>1337</v>
      </c>
      <c r="AB144" s="22" t="s">
        <v>1338</v>
      </c>
      <c r="AC144" s="24">
        <v>39224</v>
      </c>
      <c r="AD144" s="24">
        <v>41904</v>
      </c>
      <c r="AE144" s="22" t="s">
        <v>1339</v>
      </c>
      <c r="AF144" s="22" t="s">
        <v>1340</v>
      </c>
      <c r="AG144" s="22" t="s">
        <v>1341</v>
      </c>
      <c r="AH144" s="22" t="s">
        <v>1342</v>
      </c>
      <c r="AI144" s="22" t="s">
        <v>198</v>
      </c>
    </row>
    <row r="145" spans="11:35" x14ac:dyDescent="0.25">
      <c r="K145" s="3"/>
      <c r="L145" s="3"/>
      <c r="M145" s="3"/>
      <c r="N145" s="3"/>
      <c r="V145" s="24">
        <v>71010</v>
      </c>
      <c r="W145" s="22" t="s">
        <v>189</v>
      </c>
      <c r="X145" s="22" t="s">
        <v>1343</v>
      </c>
      <c r="Y145" s="22" t="s">
        <v>1344</v>
      </c>
      <c r="Z145" s="22" t="s">
        <v>1345</v>
      </c>
      <c r="AA145" s="22" t="s">
        <v>1346</v>
      </c>
      <c r="AB145" s="22" t="s">
        <v>1347</v>
      </c>
      <c r="AC145" s="24">
        <v>39198</v>
      </c>
      <c r="AD145" s="24">
        <v>41907</v>
      </c>
      <c r="AE145" s="22" t="s">
        <v>1348</v>
      </c>
      <c r="AF145" s="22" t="s">
        <v>1349</v>
      </c>
      <c r="AG145" s="22" t="s">
        <v>1350</v>
      </c>
      <c r="AH145" s="22" t="s">
        <v>1351</v>
      </c>
      <c r="AI145" s="22" t="s">
        <v>198</v>
      </c>
    </row>
    <row r="146" spans="11:35" x14ac:dyDescent="0.25">
      <c r="K146" s="3"/>
      <c r="L146" s="3"/>
      <c r="M146" s="3"/>
      <c r="N146" s="3"/>
      <c r="V146" s="24">
        <v>71510</v>
      </c>
      <c r="W146" s="22" t="s">
        <v>189</v>
      </c>
      <c r="X146" s="22" t="s">
        <v>1352</v>
      </c>
      <c r="Y146" s="22" t="s">
        <v>1353</v>
      </c>
      <c r="Z146" s="22" t="s">
        <v>1354</v>
      </c>
      <c r="AA146" s="22" t="s">
        <v>1355</v>
      </c>
      <c r="AB146" s="22" t="s">
        <v>1356</v>
      </c>
      <c r="AC146" s="24">
        <v>39172</v>
      </c>
      <c r="AD146" s="24">
        <v>41910</v>
      </c>
      <c r="AE146" s="22" t="s">
        <v>1348</v>
      </c>
      <c r="AF146" s="22" t="s">
        <v>1357</v>
      </c>
      <c r="AG146" s="22" t="s">
        <v>1358</v>
      </c>
      <c r="AH146" s="22" t="s">
        <v>1359</v>
      </c>
      <c r="AI146" s="22" t="s">
        <v>198</v>
      </c>
    </row>
    <row r="147" spans="11:35" x14ac:dyDescent="0.25">
      <c r="K147" s="3"/>
      <c r="L147" s="3"/>
      <c r="M147" s="3"/>
      <c r="N147" s="3"/>
      <c r="V147" s="24">
        <v>72010</v>
      </c>
      <c r="W147" s="22" t="s">
        <v>189</v>
      </c>
      <c r="X147" s="22" t="s">
        <v>1360</v>
      </c>
      <c r="Y147" s="22" t="s">
        <v>1361</v>
      </c>
      <c r="Z147" s="22" t="s">
        <v>1362</v>
      </c>
      <c r="AA147" s="22" t="s">
        <v>1363</v>
      </c>
      <c r="AB147" s="22" t="s">
        <v>1364</v>
      </c>
      <c r="AC147" s="24">
        <v>39146</v>
      </c>
      <c r="AD147" s="24">
        <v>41913</v>
      </c>
      <c r="AE147" s="22" t="s">
        <v>1365</v>
      </c>
      <c r="AF147" s="22" t="s">
        <v>1366</v>
      </c>
      <c r="AG147" s="22" t="s">
        <v>1367</v>
      </c>
      <c r="AH147" s="22" t="s">
        <v>1368</v>
      </c>
      <c r="AI147" s="22" t="s">
        <v>198</v>
      </c>
    </row>
    <row r="148" spans="11:35" x14ac:dyDescent="0.25">
      <c r="K148" s="3"/>
      <c r="L148" s="3"/>
      <c r="M148" s="3"/>
      <c r="N148" s="3"/>
      <c r="V148" s="24">
        <v>72510</v>
      </c>
      <c r="W148" s="22" t="s">
        <v>189</v>
      </c>
      <c r="X148" s="22" t="s">
        <v>1369</v>
      </c>
      <c r="Y148" s="22" t="s">
        <v>1370</v>
      </c>
      <c r="Z148" s="22" t="s">
        <v>1371</v>
      </c>
      <c r="AA148" s="22" t="s">
        <v>1372</v>
      </c>
      <c r="AB148" s="22" t="s">
        <v>1373</v>
      </c>
      <c r="AC148" s="24">
        <v>39120</v>
      </c>
      <c r="AD148" s="24">
        <v>41916</v>
      </c>
      <c r="AE148" s="22" t="s">
        <v>1365</v>
      </c>
      <c r="AF148" s="22" t="s">
        <v>1374</v>
      </c>
      <c r="AG148" s="22" t="s">
        <v>1375</v>
      </c>
      <c r="AH148" s="22" t="s">
        <v>1376</v>
      </c>
      <c r="AI148" s="22" t="s">
        <v>198</v>
      </c>
    </row>
    <row r="149" spans="11:35" x14ac:dyDescent="0.25">
      <c r="K149" s="3"/>
      <c r="L149" s="3"/>
      <c r="M149" s="3"/>
      <c r="N149" s="3"/>
      <c r="V149" s="24">
        <v>73010</v>
      </c>
      <c r="W149" s="22" t="s">
        <v>189</v>
      </c>
      <c r="X149" s="22" t="s">
        <v>1377</v>
      </c>
      <c r="Y149" s="22" t="s">
        <v>1378</v>
      </c>
      <c r="Z149" s="22" t="s">
        <v>1379</v>
      </c>
      <c r="AA149" s="22" t="s">
        <v>1380</v>
      </c>
      <c r="AB149" s="22" t="s">
        <v>1381</v>
      </c>
      <c r="AC149" s="24">
        <v>39094</v>
      </c>
      <c r="AD149" s="24">
        <v>41919</v>
      </c>
      <c r="AE149" s="22" t="s">
        <v>1382</v>
      </c>
      <c r="AF149" s="22" t="s">
        <v>1383</v>
      </c>
      <c r="AG149" s="22" t="s">
        <v>1384</v>
      </c>
      <c r="AH149" s="22" t="s">
        <v>1385</v>
      </c>
      <c r="AI149" s="22" t="s">
        <v>198</v>
      </c>
    </row>
    <row r="150" spans="11:35" x14ac:dyDescent="0.25">
      <c r="K150" s="3"/>
      <c r="L150" s="3"/>
      <c r="M150" s="3"/>
      <c r="N150" s="3"/>
      <c r="V150" s="24">
        <v>73510</v>
      </c>
      <c r="W150" s="22" t="s">
        <v>189</v>
      </c>
      <c r="X150" s="22" t="s">
        <v>1386</v>
      </c>
      <c r="Y150" s="22" t="s">
        <v>1387</v>
      </c>
      <c r="Z150" s="22" t="s">
        <v>1388</v>
      </c>
      <c r="AA150" s="22" t="s">
        <v>1389</v>
      </c>
      <c r="AB150" s="22" t="s">
        <v>1390</v>
      </c>
      <c r="AC150" s="24">
        <v>39068</v>
      </c>
      <c r="AD150" s="24">
        <v>41922</v>
      </c>
      <c r="AE150" s="22" t="s">
        <v>1382</v>
      </c>
      <c r="AF150" s="22" t="s">
        <v>1391</v>
      </c>
      <c r="AG150" s="22" t="s">
        <v>1392</v>
      </c>
      <c r="AH150" s="22" t="s">
        <v>1393</v>
      </c>
      <c r="AI150" s="22" t="s">
        <v>198</v>
      </c>
    </row>
    <row r="151" spans="11:35" x14ac:dyDescent="0.25">
      <c r="K151" s="3"/>
      <c r="L151" s="3"/>
      <c r="M151" s="3"/>
      <c r="N151" s="3"/>
      <c r="V151" s="24">
        <v>74010</v>
      </c>
      <c r="W151" s="22" t="s">
        <v>189</v>
      </c>
      <c r="X151" s="22" t="s">
        <v>1394</v>
      </c>
      <c r="Y151" s="22" t="s">
        <v>1395</v>
      </c>
      <c r="Z151" s="22" t="s">
        <v>1396</v>
      </c>
      <c r="AA151" s="22" t="s">
        <v>1397</v>
      </c>
      <c r="AB151" s="24">
        <v>10038</v>
      </c>
      <c r="AC151" s="24">
        <v>39042</v>
      </c>
      <c r="AD151" s="24">
        <v>41926</v>
      </c>
      <c r="AE151" s="22" t="s">
        <v>1382</v>
      </c>
      <c r="AF151" s="22" t="s">
        <v>1398</v>
      </c>
      <c r="AG151" s="22" t="s">
        <v>1399</v>
      </c>
      <c r="AH151" s="22" t="s">
        <v>1400</v>
      </c>
      <c r="AI151" s="22" t="s">
        <v>198</v>
      </c>
    </row>
    <row r="152" spans="11:35" x14ac:dyDescent="0.25">
      <c r="K152" s="3"/>
      <c r="L152" s="3"/>
      <c r="M152" s="3"/>
      <c r="N152" s="3"/>
      <c r="V152" s="24">
        <v>74510</v>
      </c>
      <c r="W152" s="22" t="s">
        <v>189</v>
      </c>
      <c r="X152" s="22" t="s">
        <v>1401</v>
      </c>
      <c r="Y152" s="22" t="s">
        <v>1402</v>
      </c>
      <c r="Z152" s="22" t="s">
        <v>1403</v>
      </c>
      <c r="AA152" s="22" t="s">
        <v>1404</v>
      </c>
      <c r="AB152" s="24">
        <v>10098</v>
      </c>
      <c r="AC152" s="24">
        <v>39016</v>
      </c>
      <c r="AD152" s="24">
        <v>41929</v>
      </c>
      <c r="AE152" s="22" t="s">
        <v>1382</v>
      </c>
      <c r="AF152" s="22" t="s">
        <v>1405</v>
      </c>
      <c r="AG152" s="22" t="s">
        <v>1406</v>
      </c>
      <c r="AH152" s="22" t="s">
        <v>1407</v>
      </c>
      <c r="AI152" s="22" t="s">
        <v>198</v>
      </c>
    </row>
    <row r="153" spans="11:35" x14ac:dyDescent="0.25">
      <c r="K153" s="3"/>
      <c r="L153" s="3"/>
      <c r="M153" s="3"/>
      <c r="N153" s="3"/>
      <c r="V153" s="24">
        <v>75010</v>
      </c>
      <c r="W153" s="22" t="s">
        <v>189</v>
      </c>
      <c r="X153" s="22" t="s">
        <v>1408</v>
      </c>
      <c r="Y153" s="22" t="s">
        <v>1409</v>
      </c>
      <c r="Z153" s="22" t="s">
        <v>1410</v>
      </c>
      <c r="AA153" s="22" t="s">
        <v>1411</v>
      </c>
      <c r="AB153" s="24">
        <v>10158</v>
      </c>
      <c r="AC153" s="24">
        <v>38990</v>
      </c>
      <c r="AD153" s="24">
        <v>41932</v>
      </c>
      <c r="AE153" s="22" t="s">
        <v>1382</v>
      </c>
      <c r="AF153" s="22" t="s">
        <v>1412</v>
      </c>
      <c r="AG153" s="22" t="s">
        <v>1413</v>
      </c>
      <c r="AH153" s="22" t="s">
        <v>1414</v>
      </c>
      <c r="AI153" s="22" t="s">
        <v>198</v>
      </c>
    </row>
    <row r="154" spans="11:35" x14ac:dyDescent="0.25">
      <c r="K154" s="3"/>
      <c r="L154" s="3"/>
      <c r="M154" s="3"/>
      <c r="N154" s="3"/>
      <c r="V154" s="24">
        <v>75510</v>
      </c>
      <c r="W154" s="22" t="s">
        <v>189</v>
      </c>
      <c r="X154" s="22" t="s">
        <v>1415</v>
      </c>
      <c r="Y154" s="22" t="s">
        <v>1416</v>
      </c>
      <c r="Z154" s="22" t="s">
        <v>1417</v>
      </c>
      <c r="AA154" s="22" t="s">
        <v>1418</v>
      </c>
      <c r="AB154" s="24">
        <v>10219</v>
      </c>
      <c r="AC154" s="24">
        <v>38964</v>
      </c>
      <c r="AD154" s="24">
        <v>41935</v>
      </c>
      <c r="AE154" s="22" t="s">
        <v>1365</v>
      </c>
      <c r="AF154" s="22" t="s">
        <v>1419</v>
      </c>
      <c r="AG154" s="22" t="s">
        <v>1420</v>
      </c>
      <c r="AH154" s="22" t="s">
        <v>1421</v>
      </c>
      <c r="AI154" s="22" t="s">
        <v>198</v>
      </c>
    </row>
    <row r="155" spans="11:35" x14ac:dyDescent="0.25">
      <c r="K155" s="3"/>
      <c r="L155" s="3"/>
      <c r="M155" s="3"/>
      <c r="N155" s="3"/>
      <c r="V155" s="24">
        <v>76010</v>
      </c>
      <c r="W155" s="22" t="s">
        <v>189</v>
      </c>
      <c r="X155" s="22" t="s">
        <v>1422</v>
      </c>
      <c r="Y155" s="22" t="s">
        <v>1423</v>
      </c>
      <c r="Z155" s="22" t="s">
        <v>1424</v>
      </c>
      <c r="AA155" s="22" t="s">
        <v>1425</v>
      </c>
      <c r="AB155" s="24">
        <v>10279</v>
      </c>
      <c r="AC155" s="24">
        <v>38938</v>
      </c>
      <c r="AD155" s="24">
        <v>41939</v>
      </c>
      <c r="AE155" s="22" t="s">
        <v>1365</v>
      </c>
      <c r="AF155" s="22" t="s">
        <v>1426</v>
      </c>
      <c r="AG155" s="22" t="s">
        <v>1427</v>
      </c>
      <c r="AH155" s="22" t="s">
        <v>1428</v>
      </c>
      <c r="AI155" s="22" t="s">
        <v>198</v>
      </c>
    </row>
    <row r="156" spans="11:35" x14ac:dyDescent="0.25">
      <c r="K156" s="3"/>
      <c r="L156" s="3"/>
      <c r="M156" s="3"/>
      <c r="N156" s="3"/>
      <c r="V156" s="24">
        <v>76510</v>
      </c>
      <c r="W156" s="22" t="s">
        <v>189</v>
      </c>
      <c r="X156" s="22" t="s">
        <v>1429</v>
      </c>
      <c r="Y156" s="22" t="s">
        <v>1430</v>
      </c>
      <c r="Z156" s="22" t="s">
        <v>1431</v>
      </c>
      <c r="AA156" s="22" t="s">
        <v>1432</v>
      </c>
      <c r="AB156" s="24">
        <v>10339</v>
      </c>
      <c r="AC156" s="24">
        <v>38911</v>
      </c>
      <c r="AD156" s="24">
        <v>41942</v>
      </c>
      <c r="AE156" s="22" t="s">
        <v>1365</v>
      </c>
      <c r="AF156" s="22" t="s">
        <v>1433</v>
      </c>
      <c r="AG156" s="22" t="s">
        <v>1434</v>
      </c>
      <c r="AH156" s="22" t="s">
        <v>1435</v>
      </c>
      <c r="AI156" s="22" t="s">
        <v>198</v>
      </c>
    </row>
    <row r="157" spans="11:35" x14ac:dyDescent="0.25">
      <c r="K157" s="3"/>
      <c r="L157" s="3"/>
      <c r="M157" s="3"/>
      <c r="N157" s="3"/>
      <c r="V157" s="24">
        <v>77010</v>
      </c>
      <c r="W157" s="22" t="s">
        <v>189</v>
      </c>
      <c r="X157" s="22" t="s">
        <v>1436</v>
      </c>
      <c r="Y157" s="22" t="s">
        <v>1437</v>
      </c>
      <c r="Z157" s="22" t="s">
        <v>1438</v>
      </c>
      <c r="AA157" s="22" t="s">
        <v>1439</v>
      </c>
      <c r="AB157" s="24">
        <v>10399</v>
      </c>
      <c r="AC157" s="24">
        <v>38885</v>
      </c>
      <c r="AD157" s="24">
        <v>41946</v>
      </c>
      <c r="AE157" s="22" t="s">
        <v>1348</v>
      </c>
      <c r="AF157" s="22" t="s">
        <v>1440</v>
      </c>
      <c r="AG157" s="22" t="s">
        <v>1441</v>
      </c>
      <c r="AH157" s="22" t="s">
        <v>1442</v>
      </c>
      <c r="AI157" s="22" t="s">
        <v>198</v>
      </c>
    </row>
    <row r="158" spans="11:35" x14ac:dyDescent="0.25">
      <c r="K158" s="3"/>
      <c r="L158" s="3"/>
      <c r="M158" s="3"/>
      <c r="N158" s="3"/>
      <c r="V158" s="24">
        <v>77510</v>
      </c>
      <c r="W158" s="22" t="s">
        <v>189</v>
      </c>
      <c r="X158" s="22" t="s">
        <v>1443</v>
      </c>
      <c r="Y158" s="22" t="s">
        <v>1444</v>
      </c>
      <c r="Z158" s="22" t="s">
        <v>1445</v>
      </c>
      <c r="AA158" s="22" t="s">
        <v>1446</v>
      </c>
      <c r="AB158" s="24">
        <v>10459</v>
      </c>
      <c r="AC158" s="24">
        <v>38859</v>
      </c>
      <c r="AD158" s="24">
        <v>41949</v>
      </c>
      <c r="AE158" s="22" t="s">
        <v>1348</v>
      </c>
      <c r="AF158" s="22" t="s">
        <v>1447</v>
      </c>
      <c r="AG158" s="22" t="s">
        <v>1448</v>
      </c>
      <c r="AH158" s="22" t="s">
        <v>1449</v>
      </c>
      <c r="AI158" s="22" t="s">
        <v>198</v>
      </c>
    </row>
    <row r="159" spans="11:35" x14ac:dyDescent="0.25">
      <c r="K159" s="3"/>
      <c r="L159" s="3"/>
      <c r="M159" s="3"/>
      <c r="N159" s="3"/>
      <c r="V159" s="24">
        <v>78010</v>
      </c>
      <c r="W159" s="22" t="s">
        <v>189</v>
      </c>
      <c r="X159" s="22" t="s">
        <v>1450</v>
      </c>
      <c r="Y159" s="22" t="s">
        <v>1451</v>
      </c>
      <c r="Z159" s="22" t="s">
        <v>1452</v>
      </c>
      <c r="AA159" s="22" t="s">
        <v>1453</v>
      </c>
      <c r="AB159" s="24">
        <v>10518</v>
      </c>
      <c r="AC159" s="24">
        <v>38833</v>
      </c>
      <c r="AD159" s="24">
        <v>41953</v>
      </c>
      <c r="AE159" s="22" t="s">
        <v>1339</v>
      </c>
      <c r="AF159" s="22" t="s">
        <v>1454</v>
      </c>
      <c r="AG159" s="22" t="s">
        <v>1455</v>
      </c>
      <c r="AH159" s="22" t="s">
        <v>1456</v>
      </c>
      <c r="AI159" s="22" t="s">
        <v>198</v>
      </c>
    </row>
    <row r="160" spans="11:35" x14ac:dyDescent="0.25">
      <c r="K160" s="3"/>
      <c r="L160" s="3"/>
      <c r="M160" s="3"/>
      <c r="N160" s="3"/>
      <c r="V160" s="24">
        <v>78510</v>
      </c>
      <c r="W160" s="22" t="s">
        <v>189</v>
      </c>
      <c r="X160" s="22" t="s">
        <v>1457</v>
      </c>
      <c r="Y160" s="22" t="s">
        <v>1458</v>
      </c>
      <c r="Z160" s="22" t="s">
        <v>1459</v>
      </c>
      <c r="AA160" s="22" t="s">
        <v>1460</v>
      </c>
      <c r="AB160" s="24">
        <v>10578</v>
      </c>
      <c r="AC160" s="24">
        <v>38807</v>
      </c>
      <c r="AD160" s="24">
        <v>41957</v>
      </c>
      <c r="AE160" s="22" t="s">
        <v>1322</v>
      </c>
      <c r="AF160" s="22" t="s">
        <v>1461</v>
      </c>
      <c r="AG160" s="22" t="s">
        <v>1462</v>
      </c>
      <c r="AH160" s="22" t="s">
        <v>1463</v>
      </c>
      <c r="AI160" s="22" t="s">
        <v>198</v>
      </c>
    </row>
    <row r="161" spans="11:35" x14ac:dyDescent="0.25">
      <c r="K161" s="3"/>
      <c r="L161" s="3"/>
      <c r="M161" s="3"/>
      <c r="N161" s="3"/>
      <c r="V161" s="24">
        <v>79010</v>
      </c>
      <c r="W161" s="22" t="s">
        <v>189</v>
      </c>
      <c r="X161" s="22" t="s">
        <v>1464</v>
      </c>
      <c r="Y161" s="22" t="s">
        <v>1465</v>
      </c>
      <c r="Z161" s="22" t="s">
        <v>1466</v>
      </c>
      <c r="AA161" s="22" t="s">
        <v>1467</v>
      </c>
      <c r="AB161" s="24">
        <v>10638</v>
      </c>
      <c r="AC161" s="24">
        <v>38780</v>
      </c>
      <c r="AD161" s="24">
        <v>41960</v>
      </c>
      <c r="AE161" s="22" t="s">
        <v>1313</v>
      </c>
      <c r="AF161" s="22" t="s">
        <v>1468</v>
      </c>
      <c r="AG161" s="22" t="s">
        <v>1469</v>
      </c>
      <c r="AH161" s="22" t="s">
        <v>1470</v>
      </c>
      <c r="AI161" s="22" t="s">
        <v>198</v>
      </c>
    </row>
    <row r="162" spans="11:35" x14ac:dyDescent="0.25">
      <c r="K162" s="3"/>
      <c r="L162" s="3"/>
      <c r="M162" s="3"/>
      <c r="N162" s="3"/>
      <c r="V162" s="24">
        <v>79510</v>
      </c>
      <c r="W162" s="22" t="s">
        <v>189</v>
      </c>
      <c r="X162" s="22" t="s">
        <v>1471</v>
      </c>
      <c r="Y162" s="22" t="s">
        <v>1472</v>
      </c>
      <c r="Z162" s="22" t="s">
        <v>1473</v>
      </c>
      <c r="AA162" s="22" t="s">
        <v>1474</v>
      </c>
      <c r="AB162" s="24">
        <v>10697</v>
      </c>
      <c r="AC162" s="24">
        <v>38754</v>
      </c>
      <c r="AD162" s="24">
        <v>41964</v>
      </c>
      <c r="AE162" s="22" t="s">
        <v>1304</v>
      </c>
      <c r="AF162" s="22" t="s">
        <v>1475</v>
      </c>
      <c r="AG162" s="22" t="s">
        <v>1476</v>
      </c>
      <c r="AH162" s="22" t="s">
        <v>1477</v>
      </c>
      <c r="AI162" s="22" t="s">
        <v>198</v>
      </c>
    </row>
    <row r="163" spans="11:35" x14ac:dyDescent="0.25">
      <c r="K163" s="3"/>
      <c r="L163" s="3"/>
      <c r="M163" s="3"/>
      <c r="N163" s="3"/>
      <c r="V163" s="24">
        <v>80010</v>
      </c>
      <c r="W163" s="22" t="s">
        <v>189</v>
      </c>
      <c r="X163" s="22" t="s">
        <v>1478</v>
      </c>
      <c r="Y163" s="22" t="s">
        <v>1479</v>
      </c>
      <c r="Z163" s="22" t="s">
        <v>1480</v>
      </c>
      <c r="AA163" s="22" t="s">
        <v>1481</v>
      </c>
      <c r="AB163" s="24">
        <v>10757</v>
      </c>
      <c r="AC163" s="24">
        <v>38728</v>
      </c>
      <c r="AD163" s="24">
        <v>41968</v>
      </c>
      <c r="AE163" s="22" t="s">
        <v>1482</v>
      </c>
      <c r="AF163" s="22" t="s">
        <v>1483</v>
      </c>
      <c r="AG163" s="22" t="s">
        <v>1484</v>
      </c>
      <c r="AH163" s="22" t="s">
        <v>1485</v>
      </c>
      <c r="AI163" s="22" t="s">
        <v>198</v>
      </c>
    </row>
    <row r="164" spans="11:35" x14ac:dyDescent="0.25">
      <c r="K164" s="3"/>
      <c r="L164" s="3"/>
      <c r="M164" s="3"/>
      <c r="N164" s="3"/>
      <c r="V164" s="24">
        <v>80510</v>
      </c>
      <c r="W164" s="22" t="s">
        <v>189</v>
      </c>
      <c r="X164" s="22" t="s">
        <v>1486</v>
      </c>
      <c r="Y164" s="22" t="s">
        <v>1487</v>
      </c>
      <c r="Z164" s="22" t="s">
        <v>1488</v>
      </c>
      <c r="AA164" s="22" t="s">
        <v>1489</v>
      </c>
      <c r="AB164" s="24">
        <v>10816</v>
      </c>
      <c r="AC164" s="24">
        <v>38702</v>
      </c>
      <c r="AD164" s="24">
        <v>41971</v>
      </c>
      <c r="AE164" s="22" t="s">
        <v>1295</v>
      </c>
      <c r="AF164" s="22" t="s">
        <v>1490</v>
      </c>
      <c r="AG164" s="22" t="s">
        <v>1491</v>
      </c>
      <c r="AH164" s="22" t="s">
        <v>1492</v>
      </c>
      <c r="AI164" s="22" t="s">
        <v>198</v>
      </c>
    </row>
    <row r="165" spans="11:35" x14ac:dyDescent="0.25">
      <c r="K165" s="3"/>
      <c r="L165" s="3"/>
      <c r="M165" s="3"/>
      <c r="N165" s="3"/>
      <c r="V165" s="24">
        <v>81010</v>
      </c>
      <c r="W165" s="22" t="s">
        <v>189</v>
      </c>
      <c r="X165" s="22" t="s">
        <v>1493</v>
      </c>
      <c r="Y165" s="22" t="s">
        <v>1494</v>
      </c>
      <c r="Z165" s="22" t="s">
        <v>1495</v>
      </c>
      <c r="AA165" s="22" t="s">
        <v>1496</v>
      </c>
      <c r="AB165" s="24">
        <v>10875</v>
      </c>
      <c r="AC165" s="24">
        <v>38675</v>
      </c>
      <c r="AD165" s="24">
        <v>41975</v>
      </c>
      <c r="AE165" s="22" t="s">
        <v>1286</v>
      </c>
      <c r="AF165" s="22" t="s">
        <v>1497</v>
      </c>
      <c r="AG165" s="22" t="s">
        <v>1498</v>
      </c>
      <c r="AH165" s="22" t="s">
        <v>1499</v>
      </c>
      <c r="AI165" s="22" t="s">
        <v>198</v>
      </c>
    </row>
    <row r="166" spans="11:35" x14ac:dyDescent="0.25">
      <c r="K166" s="3"/>
      <c r="L166" s="3"/>
      <c r="M166" s="3"/>
      <c r="N166" s="3"/>
      <c r="V166" s="24">
        <v>81510</v>
      </c>
      <c r="W166" s="22" t="s">
        <v>189</v>
      </c>
      <c r="X166" s="22" t="s">
        <v>1500</v>
      </c>
      <c r="Y166" s="22" t="s">
        <v>1501</v>
      </c>
      <c r="Z166" s="22" t="s">
        <v>1502</v>
      </c>
      <c r="AA166" s="22" t="s">
        <v>1503</v>
      </c>
      <c r="AB166" s="24">
        <v>10935</v>
      </c>
      <c r="AC166" s="24">
        <v>38649</v>
      </c>
      <c r="AD166" s="24">
        <v>41979</v>
      </c>
      <c r="AE166" s="22" t="s">
        <v>1277</v>
      </c>
      <c r="AF166" s="22" t="s">
        <v>1504</v>
      </c>
      <c r="AG166" s="22" t="s">
        <v>1505</v>
      </c>
      <c r="AH166" s="22" t="s">
        <v>1506</v>
      </c>
      <c r="AI166" s="22" t="s">
        <v>198</v>
      </c>
    </row>
    <row r="167" spans="11:35" x14ac:dyDescent="0.25">
      <c r="K167" s="3"/>
      <c r="L167" s="3"/>
      <c r="M167" s="3"/>
      <c r="N167" s="3"/>
      <c r="V167" s="24">
        <v>82010</v>
      </c>
      <c r="W167" s="22" t="s">
        <v>189</v>
      </c>
      <c r="X167" s="22" t="s">
        <v>1507</v>
      </c>
      <c r="Y167" s="22" t="s">
        <v>1508</v>
      </c>
      <c r="Z167" s="22" t="s">
        <v>1509</v>
      </c>
      <c r="AA167" s="22" t="s">
        <v>1510</v>
      </c>
      <c r="AB167" s="24">
        <v>10994</v>
      </c>
      <c r="AC167" s="24">
        <v>38623</v>
      </c>
      <c r="AD167" s="24">
        <v>41983</v>
      </c>
      <c r="AE167" s="22" t="s">
        <v>1268</v>
      </c>
      <c r="AF167" s="22" t="s">
        <v>1511</v>
      </c>
      <c r="AG167" s="22" t="s">
        <v>1512</v>
      </c>
      <c r="AH167" s="22" t="s">
        <v>1513</v>
      </c>
      <c r="AI167" s="22" t="s">
        <v>198</v>
      </c>
    </row>
    <row r="168" spans="11:35" x14ac:dyDescent="0.25">
      <c r="K168" s="3"/>
      <c r="L168" s="3"/>
      <c r="M168" s="3"/>
      <c r="N168" s="3"/>
      <c r="V168" s="24">
        <v>82510</v>
      </c>
      <c r="W168" s="22" t="s">
        <v>189</v>
      </c>
      <c r="X168" s="22" t="s">
        <v>1514</v>
      </c>
      <c r="Y168" s="22" t="s">
        <v>1515</v>
      </c>
      <c r="Z168" s="22" t="s">
        <v>1516</v>
      </c>
      <c r="AA168" s="22" t="s">
        <v>1517</v>
      </c>
      <c r="AB168" s="24">
        <v>11053</v>
      </c>
      <c r="AC168" s="24">
        <v>38597</v>
      </c>
      <c r="AD168" s="24">
        <v>41987</v>
      </c>
      <c r="AE168" s="22" t="s">
        <v>1259</v>
      </c>
      <c r="AF168" s="22" t="s">
        <v>1518</v>
      </c>
      <c r="AG168" s="22" t="s">
        <v>1519</v>
      </c>
      <c r="AH168" s="22" t="s">
        <v>1520</v>
      </c>
      <c r="AI168" s="22" t="s">
        <v>198</v>
      </c>
    </row>
    <row r="169" spans="11:35" x14ac:dyDescent="0.25">
      <c r="K169" s="3"/>
      <c r="L169" s="3"/>
      <c r="M169" s="3"/>
      <c r="N169" s="3"/>
      <c r="V169" s="24">
        <v>83010</v>
      </c>
      <c r="W169" s="22" t="s">
        <v>189</v>
      </c>
      <c r="X169" s="22" t="s">
        <v>1521</v>
      </c>
      <c r="Y169" s="22" t="s">
        <v>1522</v>
      </c>
      <c r="Z169" s="22" t="s">
        <v>1523</v>
      </c>
      <c r="AA169" s="22" t="s">
        <v>1524</v>
      </c>
      <c r="AB169" s="24">
        <v>11112</v>
      </c>
      <c r="AC169" s="24">
        <v>38570</v>
      </c>
      <c r="AD169" s="24">
        <v>41991</v>
      </c>
      <c r="AE169" s="22" t="s">
        <v>1250</v>
      </c>
      <c r="AF169" s="22" t="s">
        <v>1525</v>
      </c>
      <c r="AG169" s="22" t="s">
        <v>1526</v>
      </c>
      <c r="AH169" s="22" t="s">
        <v>1527</v>
      </c>
      <c r="AI169" s="22" t="s">
        <v>198</v>
      </c>
    </row>
    <row r="170" spans="11:35" x14ac:dyDescent="0.25">
      <c r="K170" s="3"/>
      <c r="L170" s="3"/>
      <c r="M170" s="3"/>
      <c r="N170" s="3"/>
      <c r="V170" s="24">
        <v>83510</v>
      </c>
      <c r="W170" s="22" t="s">
        <v>189</v>
      </c>
      <c r="X170" s="22" t="s">
        <v>1528</v>
      </c>
      <c r="Y170" s="22" t="s">
        <v>1529</v>
      </c>
      <c r="Z170" s="22" t="s">
        <v>1530</v>
      </c>
      <c r="AA170" s="22" t="s">
        <v>1531</v>
      </c>
      <c r="AB170" s="24">
        <v>11171</v>
      </c>
      <c r="AC170" s="24">
        <v>38544</v>
      </c>
      <c r="AD170" s="24">
        <v>41995</v>
      </c>
      <c r="AE170" s="22" t="s">
        <v>1241</v>
      </c>
      <c r="AF170" s="22" t="s">
        <v>1532</v>
      </c>
      <c r="AG170" s="22" t="s">
        <v>1533</v>
      </c>
      <c r="AH170" s="22" t="s">
        <v>1534</v>
      </c>
      <c r="AI170" s="22" t="s">
        <v>198</v>
      </c>
    </row>
    <row r="171" spans="11:35" x14ac:dyDescent="0.25">
      <c r="K171" s="3"/>
      <c r="L171" s="3"/>
      <c r="M171" s="3"/>
      <c r="N171" s="3"/>
      <c r="V171" s="24">
        <v>84010</v>
      </c>
      <c r="W171" s="22" t="s">
        <v>189</v>
      </c>
      <c r="X171" s="22" t="s">
        <v>1535</v>
      </c>
      <c r="Y171" s="22" t="s">
        <v>1536</v>
      </c>
      <c r="Z171" s="22" t="s">
        <v>1537</v>
      </c>
      <c r="AA171" s="22" t="s">
        <v>1538</v>
      </c>
      <c r="AB171" s="24">
        <v>11229</v>
      </c>
      <c r="AC171" s="24">
        <v>38518</v>
      </c>
      <c r="AD171" s="24">
        <v>41999</v>
      </c>
      <c r="AE171" s="22" t="s">
        <v>1539</v>
      </c>
      <c r="AF171" s="22" t="s">
        <v>1540</v>
      </c>
      <c r="AG171" s="22" t="s">
        <v>1541</v>
      </c>
      <c r="AH171" s="22" t="s">
        <v>1542</v>
      </c>
      <c r="AI171" s="22" t="s">
        <v>198</v>
      </c>
    </row>
    <row r="172" spans="11:35" x14ac:dyDescent="0.25">
      <c r="K172" s="3"/>
      <c r="L172" s="3"/>
      <c r="M172" s="3"/>
      <c r="N172" s="3"/>
      <c r="V172" s="24">
        <v>84510</v>
      </c>
      <c r="W172" s="22" t="s">
        <v>189</v>
      </c>
      <c r="X172" s="22" t="s">
        <v>1543</v>
      </c>
      <c r="Y172" s="22" t="s">
        <v>1544</v>
      </c>
      <c r="Z172" s="22" t="s">
        <v>1545</v>
      </c>
      <c r="AA172" s="22" t="s">
        <v>1546</v>
      </c>
      <c r="AB172" s="24">
        <v>11288</v>
      </c>
      <c r="AC172" s="24">
        <v>38492</v>
      </c>
      <c r="AD172" s="24">
        <v>42003</v>
      </c>
      <c r="AE172" s="22" t="s">
        <v>1547</v>
      </c>
      <c r="AF172" s="22" t="s">
        <v>1548</v>
      </c>
      <c r="AG172" s="22" t="s">
        <v>1549</v>
      </c>
      <c r="AH172" s="22" t="s">
        <v>1550</v>
      </c>
      <c r="AI172" s="22" t="s">
        <v>198</v>
      </c>
    </row>
    <row r="173" spans="11:35" x14ac:dyDescent="0.25">
      <c r="K173" s="3"/>
      <c r="L173" s="3"/>
      <c r="M173" s="3"/>
      <c r="N173" s="3"/>
      <c r="V173" s="24">
        <v>85010</v>
      </c>
      <c r="W173" s="22" t="s">
        <v>189</v>
      </c>
      <c r="X173" s="22" t="s">
        <v>1551</v>
      </c>
      <c r="Y173" s="22" t="s">
        <v>1552</v>
      </c>
      <c r="Z173" s="22" t="s">
        <v>1553</v>
      </c>
      <c r="AA173" s="22" t="s">
        <v>1554</v>
      </c>
      <c r="AB173" s="24">
        <v>11347</v>
      </c>
      <c r="AC173" s="24">
        <v>38465</v>
      </c>
      <c r="AD173" s="24">
        <v>42008</v>
      </c>
      <c r="AE173" s="22" t="s">
        <v>1555</v>
      </c>
      <c r="AF173" s="22" t="s">
        <v>1556</v>
      </c>
      <c r="AG173" s="22" t="s">
        <v>1557</v>
      </c>
      <c r="AH173" s="22" t="s">
        <v>1558</v>
      </c>
      <c r="AI173" s="22" t="s">
        <v>198</v>
      </c>
    </row>
    <row r="174" spans="11:35" x14ac:dyDescent="0.25">
      <c r="V174" s="24">
        <v>85510</v>
      </c>
      <c r="W174" s="22" t="s">
        <v>189</v>
      </c>
      <c r="X174" s="22" t="s">
        <v>1559</v>
      </c>
      <c r="Y174" s="22" t="s">
        <v>1560</v>
      </c>
      <c r="Z174" s="22" t="s">
        <v>1561</v>
      </c>
      <c r="AA174" s="22" t="s">
        <v>1562</v>
      </c>
      <c r="AB174" s="24">
        <v>11406</v>
      </c>
      <c r="AC174" s="24">
        <v>38439</v>
      </c>
      <c r="AD174" s="24">
        <v>42012</v>
      </c>
      <c r="AE174" s="22" t="s">
        <v>1563</v>
      </c>
      <c r="AF174" s="22" t="s">
        <v>1564</v>
      </c>
      <c r="AG174" s="22" t="s">
        <v>1565</v>
      </c>
      <c r="AH174" s="22" t="s">
        <v>1566</v>
      </c>
      <c r="AI174" s="22" t="s">
        <v>198</v>
      </c>
    </row>
    <row r="175" spans="11:35" x14ac:dyDescent="0.25">
      <c r="V175" s="24">
        <v>86010</v>
      </c>
      <c r="W175" s="22" t="s">
        <v>189</v>
      </c>
      <c r="X175" s="22" t="s">
        <v>1567</v>
      </c>
      <c r="Y175" s="22" t="s">
        <v>1568</v>
      </c>
      <c r="Z175" s="22" t="s">
        <v>1569</v>
      </c>
      <c r="AA175" s="22" t="s">
        <v>1570</v>
      </c>
      <c r="AB175" s="24">
        <v>11464</v>
      </c>
      <c r="AC175" s="24">
        <v>38413</v>
      </c>
      <c r="AD175" s="24">
        <v>42016</v>
      </c>
      <c r="AE175" s="22" t="s">
        <v>1571</v>
      </c>
      <c r="AF175" s="22" t="s">
        <v>1572</v>
      </c>
      <c r="AG175" s="22" t="s">
        <v>1573</v>
      </c>
      <c r="AH175" s="22" t="s">
        <v>1574</v>
      </c>
      <c r="AI175" s="22" t="s">
        <v>198</v>
      </c>
    </row>
    <row r="176" spans="11:35" x14ac:dyDescent="0.25">
      <c r="V176" s="24">
        <v>86510</v>
      </c>
      <c r="W176" s="22" t="s">
        <v>189</v>
      </c>
      <c r="X176" s="22" t="s">
        <v>1575</v>
      </c>
      <c r="Y176" s="22" t="s">
        <v>1576</v>
      </c>
      <c r="Z176" s="22" t="s">
        <v>1577</v>
      </c>
      <c r="AA176" s="22" t="s">
        <v>1578</v>
      </c>
      <c r="AB176" s="24">
        <v>11522</v>
      </c>
      <c r="AC176" s="24">
        <v>38387</v>
      </c>
      <c r="AD176" s="24">
        <v>42020</v>
      </c>
      <c r="AE176" s="22" t="s">
        <v>1579</v>
      </c>
      <c r="AF176" s="22" t="s">
        <v>1580</v>
      </c>
      <c r="AG176" s="22" t="s">
        <v>1581</v>
      </c>
      <c r="AH176" s="22" t="s">
        <v>1582</v>
      </c>
      <c r="AI176" s="22" t="s">
        <v>198</v>
      </c>
    </row>
    <row r="177" spans="22:35" x14ac:dyDescent="0.25">
      <c r="V177" s="24">
        <v>87010</v>
      </c>
      <c r="W177" s="22" t="s">
        <v>189</v>
      </c>
      <c r="X177" s="22" t="s">
        <v>1583</v>
      </c>
      <c r="Y177" s="22" t="s">
        <v>1584</v>
      </c>
      <c r="Z177" s="22" t="s">
        <v>1585</v>
      </c>
      <c r="AA177" s="22" t="s">
        <v>1586</v>
      </c>
      <c r="AB177" s="24">
        <v>11581</v>
      </c>
      <c r="AC177" s="24">
        <v>38360</v>
      </c>
      <c r="AD177" s="24">
        <v>42025</v>
      </c>
      <c r="AE177" s="22" t="s">
        <v>1587</v>
      </c>
      <c r="AF177" s="22" t="s">
        <v>1588</v>
      </c>
      <c r="AG177" s="22" t="s">
        <v>1589</v>
      </c>
      <c r="AH177" s="22" t="s">
        <v>1590</v>
      </c>
      <c r="AI177" s="22" t="s">
        <v>198</v>
      </c>
    </row>
    <row r="178" spans="22:35" x14ac:dyDescent="0.25">
      <c r="V178" s="24">
        <v>87510</v>
      </c>
      <c r="W178" s="22" t="s">
        <v>189</v>
      </c>
      <c r="X178" s="22" t="s">
        <v>1591</v>
      </c>
      <c r="Y178" s="22" t="s">
        <v>1592</v>
      </c>
      <c r="Z178" s="22" t="s">
        <v>1593</v>
      </c>
      <c r="AA178" s="22" t="s">
        <v>1594</v>
      </c>
      <c r="AB178" s="24">
        <v>11639</v>
      </c>
      <c r="AC178" s="24">
        <v>38334</v>
      </c>
      <c r="AD178" s="24">
        <v>42029</v>
      </c>
      <c r="AE178" s="22" t="s">
        <v>1178</v>
      </c>
      <c r="AF178" s="22" t="s">
        <v>1595</v>
      </c>
      <c r="AG178" s="22" t="s">
        <v>1596</v>
      </c>
      <c r="AH178" s="22" t="s">
        <v>1597</v>
      </c>
      <c r="AI178" s="22" t="s">
        <v>198</v>
      </c>
    </row>
    <row r="179" spans="22:35" x14ac:dyDescent="0.25">
      <c r="V179" s="24">
        <v>88010</v>
      </c>
      <c r="W179" s="22" t="s">
        <v>189</v>
      </c>
      <c r="X179" s="22" t="s">
        <v>1598</v>
      </c>
      <c r="Y179" s="22" t="s">
        <v>1599</v>
      </c>
      <c r="Z179" s="22" t="s">
        <v>1600</v>
      </c>
      <c r="AA179" s="22" t="s">
        <v>1601</v>
      </c>
      <c r="AB179" s="24">
        <v>11697</v>
      </c>
      <c r="AC179" s="24">
        <v>38308</v>
      </c>
      <c r="AD179" s="24">
        <v>42034</v>
      </c>
      <c r="AE179" s="22" t="s">
        <v>1602</v>
      </c>
      <c r="AF179" s="22" t="s">
        <v>1603</v>
      </c>
      <c r="AG179" s="22" t="s">
        <v>1604</v>
      </c>
      <c r="AH179" s="22" t="s">
        <v>1605</v>
      </c>
      <c r="AI179" s="22" t="s">
        <v>198</v>
      </c>
    </row>
    <row r="180" spans="22:35" x14ac:dyDescent="0.25">
      <c r="V180" s="24">
        <v>88510</v>
      </c>
      <c r="W180" s="22" t="s">
        <v>189</v>
      </c>
      <c r="X180" s="22" t="s">
        <v>1606</v>
      </c>
      <c r="Y180" s="22" t="s">
        <v>1607</v>
      </c>
      <c r="Z180" s="22" t="s">
        <v>1608</v>
      </c>
      <c r="AA180" s="22" t="s">
        <v>1609</v>
      </c>
      <c r="AB180" s="24">
        <v>11756</v>
      </c>
      <c r="AC180" s="24">
        <v>38282</v>
      </c>
      <c r="AD180" s="24">
        <v>42038</v>
      </c>
      <c r="AE180" s="22" t="s">
        <v>1160</v>
      </c>
      <c r="AF180" s="22" t="s">
        <v>1610</v>
      </c>
      <c r="AG180" s="22" t="s">
        <v>1611</v>
      </c>
      <c r="AH180" s="22" t="s">
        <v>1612</v>
      </c>
      <c r="AI180" s="22" t="s">
        <v>198</v>
      </c>
    </row>
    <row r="181" spans="22:35" x14ac:dyDescent="0.25">
      <c r="V181" s="24">
        <v>89010</v>
      </c>
      <c r="W181" s="22" t="s">
        <v>189</v>
      </c>
      <c r="X181" s="22" t="s">
        <v>1613</v>
      </c>
      <c r="Y181" s="22" t="s">
        <v>1614</v>
      </c>
      <c r="Z181" s="22" t="s">
        <v>1427</v>
      </c>
      <c r="AA181" s="22" t="s">
        <v>1615</v>
      </c>
      <c r="AB181" s="24">
        <v>11814</v>
      </c>
      <c r="AC181" s="24">
        <v>38255</v>
      </c>
      <c r="AD181" s="24">
        <v>42043</v>
      </c>
      <c r="AE181" s="22" t="s">
        <v>1151</v>
      </c>
      <c r="AF181" s="22" t="s">
        <v>1616</v>
      </c>
      <c r="AG181" s="22" t="s">
        <v>1617</v>
      </c>
      <c r="AH181" s="22" t="s">
        <v>1618</v>
      </c>
      <c r="AI181" s="22" t="s">
        <v>198</v>
      </c>
    </row>
    <row r="182" spans="22:35" x14ac:dyDescent="0.25">
      <c r="V182" s="24">
        <v>89510</v>
      </c>
      <c r="W182" s="22" t="s">
        <v>189</v>
      </c>
      <c r="X182" s="22" t="s">
        <v>1619</v>
      </c>
      <c r="Y182" s="22" t="s">
        <v>1620</v>
      </c>
      <c r="Z182" s="22" t="s">
        <v>1621</v>
      </c>
      <c r="AA182" s="22" t="s">
        <v>1622</v>
      </c>
      <c r="AB182" s="24">
        <v>11872</v>
      </c>
      <c r="AC182" s="24">
        <v>38229</v>
      </c>
      <c r="AD182" s="24">
        <v>42047</v>
      </c>
      <c r="AE182" s="22" t="s">
        <v>1142</v>
      </c>
      <c r="AF182" s="22" t="s">
        <v>1623</v>
      </c>
      <c r="AG182" s="22" t="s">
        <v>1624</v>
      </c>
      <c r="AH182" s="22" t="s">
        <v>1625</v>
      </c>
      <c r="AI182" s="22" t="s">
        <v>198</v>
      </c>
    </row>
    <row r="183" spans="22:35" x14ac:dyDescent="0.25">
      <c r="V183" s="24">
        <v>90010</v>
      </c>
      <c r="W183" s="22" t="s">
        <v>189</v>
      </c>
      <c r="X183" s="22" t="s">
        <v>1626</v>
      </c>
      <c r="Y183" s="22" t="s">
        <v>1627</v>
      </c>
      <c r="Z183" s="22" t="s">
        <v>1628</v>
      </c>
      <c r="AA183" s="22" t="s">
        <v>1629</v>
      </c>
      <c r="AB183" s="24">
        <v>11930</v>
      </c>
      <c r="AC183" s="24">
        <v>38203</v>
      </c>
      <c r="AD183" s="24">
        <v>42052</v>
      </c>
      <c r="AE183" s="22" t="s">
        <v>1133</v>
      </c>
      <c r="AF183" s="22" t="s">
        <v>1630</v>
      </c>
      <c r="AG183" s="22" t="s">
        <v>1631</v>
      </c>
      <c r="AH183" s="22" t="s">
        <v>1632</v>
      </c>
      <c r="AI183" s="22" t="s">
        <v>198</v>
      </c>
    </row>
    <row r="184" spans="22:35" x14ac:dyDescent="0.25">
      <c r="V184" s="24">
        <v>90510</v>
      </c>
      <c r="W184" s="22" t="s">
        <v>189</v>
      </c>
      <c r="X184" s="22" t="s">
        <v>1633</v>
      </c>
      <c r="Y184" s="22" t="s">
        <v>1634</v>
      </c>
      <c r="Z184" s="22" t="s">
        <v>1635</v>
      </c>
      <c r="AA184" s="22" t="s">
        <v>1636</v>
      </c>
      <c r="AB184" s="24">
        <v>11987</v>
      </c>
      <c r="AC184" s="24">
        <v>38177</v>
      </c>
      <c r="AD184" s="24">
        <v>42057</v>
      </c>
      <c r="AE184" s="22" t="s">
        <v>1637</v>
      </c>
      <c r="AF184" s="22" t="s">
        <v>1638</v>
      </c>
      <c r="AG184" s="22" t="s">
        <v>1639</v>
      </c>
      <c r="AH184" s="22" t="s">
        <v>1640</v>
      </c>
      <c r="AI184" s="22" t="s">
        <v>198</v>
      </c>
    </row>
    <row r="185" spans="22:35" x14ac:dyDescent="0.25">
      <c r="V185" s="24">
        <v>91010</v>
      </c>
      <c r="W185" s="22" t="s">
        <v>189</v>
      </c>
      <c r="X185" s="22" t="s">
        <v>1641</v>
      </c>
      <c r="Y185" s="22" t="s">
        <v>1642</v>
      </c>
      <c r="Z185" s="22" t="s">
        <v>1643</v>
      </c>
      <c r="AA185" s="22" t="s">
        <v>1644</v>
      </c>
      <c r="AB185" s="24">
        <v>12045</v>
      </c>
      <c r="AC185" s="24">
        <v>38151</v>
      </c>
      <c r="AD185" s="24">
        <v>42062</v>
      </c>
      <c r="AE185" s="22" t="s">
        <v>1645</v>
      </c>
      <c r="AF185" s="22" t="s">
        <v>1646</v>
      </c>
      <c r="AG185" s="22" t="s">
        <v>1647</v>
      </c>
      <c r="AH185" s="22" t="s">
        <v>1648</v>
      </c>
      <c r="AI185" s="22" t="s">
        <v>198</v>
      </c>
    </row>
    <row r="186" spans="22:35" x14ac:dyDescent="0.25">
      <c r="V186" s="24">
        <v>91510</v>
      </c>
      <c r="W186" s="22" t="s">
        <v>189</v>
      </c>
      <c r="X186" s="22" t="s">
        <v>1649</v>
      </c>
      <c r="Y186" s="22" t="s">
        <v>1650</v>
      </c>
      <c r="Z186" s="22" t="s">
        <v>1651</v>
      </c>
      <c r="AA186" s="22" t="s">
        <v>1652</v>
      </c>
      <c r="AB186" s="24">
        <v>12103</v>
      </c>
      <c r="AC186" s="24">
        <v>38124</v>
      </c>
      <c r="AD186" s="24">
        <v>42067</v>
      </c>
      <c r="AE186" s="22" t="s">
        <v>1653</v>
      </c>
      <c r="AF186" s="22" t="s">
        <v>1654</v>
      </c>
      <c r="AG186" s="22" t="s">
        <v>1655</v>
      </c>
      <c r="AH186" s="22" t="s">
        <v>1656</v>
      </c>
      <c r="AI186" s="22" t="s">
        <v>198</v>
      </c>
    </row>
    <row r="187" spans="22:35" x14ac:dyDescent="0.25">
      <c r="V187" s="24">
        <v>92010</v>
      </c>
      <c r="W187" s="22" t="s">
        <v>189</v>
      </c>
      <c r="X187" s="22" t="s">
        <v>1657</v>
      </c>
      <c r="Y187" s="22" t="s">
        <v>1658</v>
      </c>
      <c r="Z187" s="22" t="s">
        <v>1659</v>
      </c>
      <c r="AA187" s="22" t="s">
        <v>1660</v>
      </c>
      <c r="AB187" s="24">
        <v>12161</v>
      </c>
      <c r="AC187" s="24">
        <v>38098</v>
      </c>
      <c r="AD187" s="24">
        <v>42071</v>
      </c>
      <c r="AE187" s="22" t="s">
        <v>1661</v>
      </c>
      <c r="AF187" s="22" t="s">
        <v>1662</v>
      </c>
      <c r="AG187" s="22" t="s">
        <v>1663</v>
      </c>
      <c r="AH187" s="22" t="s">
        <v>1664</v>
      </c>
      <c r="AI187" s="22" t="s">
        <v>198</v>
      </c>
    </row>
    <row r="188" spans="22:35" x14ac:dyDescent="0.25">
      <c r="V188" s="24">
        <v>92510</v>
      </c>
      <c r="W188" s="22" t="s">
        <v>189</v>
      </c>
      <c r="X188" s="22" t="s">
        <v>1665</v>
      </c>
      <c r="Y188" s="22" t="s">
        <v>1666</v>
      </c>
      <c r="Z188" s="22" t="s">
        <v>1667</v>
      </c>
      <c r="AA188" s="22" t="s">
        <v>1668</v>
      </c>
      <c r="AB188" s="24">
        <v>12218</v>
      </c>
      <c r="AC188" s="24">
        <v>38072</v>
      </c>
      <c r="AD188" s="24">
        <v>42076</v>
      </c>
      <c r="AE188" s="22" t="s">
        <v>1669</v>
      </c>
      <c r="AF188" s="22" t="s">
        <v>1670</v>
      </c>
      <c r="AG188" s="22" t="s">
        <v>1671</v>
      </c>
      <c r="AH188" s="22" t="s">
        <v>1672</v>
      </c>
      <c r="AI188" s="22" t="s">
        <v>198</v>
      </c>
    </row>
    <row r="189" spans="22:35" x14ac:dyDescent="0.25">
      <c r="V189" s="24">
        <v>93010</v>
      </c>
      <c r="W189" s="22" t="s">
        <v>189</v>
      </c>
      <c r="X189" s="22" t="s">
        <v>1673</v>
      </c>
      <c r="Y189" s="22" t="s">
        <v>1674</v>
      </c>
      <c r="Z189" s="22" t="s">
        <v>1675</v>
      </c>
      <c r="AA189" s="22" t="s">
        <v>1676</v>
      </c>
      <c r="AB189" s="24">
        <v>12276</v>
      </c>
      <c r="AC189" s="24">
        <v>38046</v>
      </c>
      <c r="AD189" s="24">
        <v>42081</v>
      </c>
      <c r="AE189" s="22" t="s">
        <v>1088</v>
      </c>
      <c r="AF189" s="22" t="s">
        <v>1677</v>
      </c>
      <c r="AG189" s="22" t="s">
        <v>1678</v>
      </c>
      <c r="AH189" s="22" t="s">
        <v>1679</v>
      </c>
      <c r="AI189" s="22" t="s">
        <v>198</v>
      </c>
    </row>
    <row r="190" spans="22:35" x14ac:dyDescent="0.25">
      <c r="V190" s="24">
        <v>93510</v>
      </c>
      <c r="W190" s="22" t="s">
        <v>189</v>
      </c>
      <c r="X190" s="22" t="s">
        <v>1680</v>
      </c>
      <c r="Y190" s="22" t="s">
        <v>1681</v>
      </c>
      <c r="Z190" s="22" t="s">
        <v>1682</v>
      </c>
      <c r="AA190" s="22" t="s">
        <v>1683</v>
      </c>
      <c r="AB190" s="24">
        <v>12333</v>
      </c>
      <c r="AC190" s="24">
        <v>38020</v>
      </c>
      <c r="AD190" s="24">
        <v>42086</v>
      </c>
      <c r="AE190" s="22" t="s">
        <v>1684</v>
      </c>
      <c r="AF190" s="22" t="s">
        <v>1685</v>
      </c>
      <c r="AG190" s="22" t="s">
        <v>1686</v>
      </c>
      <c r="AH190" s="22" t="s">
        <v>1687</v>
      </c>
      <c r="AI190" s="22" t="s">
        <v>198</v>
      </c>
    </row>
    <row r="191" spans="22:35" x14ac:dyDescent="0.25">
      <c r="V191" s="24">
        <v>94010</v>
      </c>
      <c r="W191" s="22" t="s">
        <v>189</v>
      </c>
      <c r="X191" s="22" t="s">
        <v>1688</v>
      </c>
      <c r="Y191" s="22" t="s">
        <v>1689</v>
      </c>
      <c r="Z191" s="22" t="s">
        <v>1690</v>
      </c>
      <c r="AA191" s="22" t="s">
        <v>1691</v>
      </c>
      <c r="AB191" s="24">
        <v>12390</v>
      </c>
      <c r="AC191" s="24">
        <v>37994</v>
      </c>
      <c r="AD191" s="24">
        <v>42091</v>
      </c>
      <c r="AE191" s="22" t="s">
        <v>1692</v>
      </c>
      <c r="AF191" s="22" t="s">
        <v>1693</v>
      </c>
      <c r="AG191" s="22" t="s">
        <v>1694</v>
      </c>
      <c r="AH191" s="22" t="s">
        <v>1695</v>
      </c>
      <c r="AI191" s="22" t="s">
        <v>198</v>
      </c>
    </row>
    <row r="192" spans="22:35" x14ac:dyDescent="0.25">
      <c r="V192" s="24">
        <v>94510</v>
      </c>
      <c r="W192" s="22" t="s">
        <v>189</v>
      </c>
      <c r="X192" s="22" t="s">
        <v>1696</v>
      </c>
      <c r="Y192" s="22" t="s">
        <v>1697</v>
      </c>
      <c r="Z192" s="22" t="s">
        <v>1698</v>
      </c>
      <c r="AA192" s="22" t="s">
        <v>1699</v>
      </c>
      <c r="AB192" s="24">
        <v>12448</v>
      </c>
      <c r="AC192" s="24">
        <v>37967</v>
      </c>
      <c r="AD192" s="24">
        <v>42097</v>
      </c>
      <c r="AE192" s="22" t="s">
        <v>1700</v>
      </c>
      <c r="AF192" s="22" t="s">
        <v>1701</v>
      </c>
      <c r="AG192" s="22" t="s">
        <v>1702</v>
      </c>
      <c r="AH192" s="22" t="s">
        <v>1703</v>
      </c>
      <c r="AI192" s="22" t="s">
        <v>198</v>
      </c>
    </row>
    <row r="193" spans="22:35" x14ac:dyDescent="0.25">
      <c r="V193" s="24">
        <v>95010</v>
      </c>
      <c r="W193" s="22" t="s">
        <v>189</v>
      </c>
      <c r="X193" s="22" t="s">
        <v>1704</v>
      </c>
      <c r="Y193" s="22" t="s">
        <v>1705</v>
      </c>
      <c r="Z193" s="22" t="s">
        <v>1706</v>
      </c>
      <c r="AA193" s="22" t="s">
        <v>1707</v>
      </c>
      <c r="AB193" s="24">
        <v>12505</v>
      </c>
      <c r="AC193" s="24">
        <v>37941</v>
      </c>
      <c r="AD193" s="24">
        <v>42102</v>
      </c>
      <c r="AE193" s="22" t="s">
        <v>1708</v>
      </c>
      <c r="AF193" s="22" t="s">
        <v>1709</v>
      </c>
      <c r="AG193" s="22" t="s">
        <v>1345</v>
      </c>
      <c r="AH193" s="22" t="s">
        <v>1710</v>
      </c>
      <c r="AI193" s="22" t="s">
        <v>198</v>
      </c>
    </row>
    <row r="194" spans="22:35" x14ac:dyDescent="0.25">
      <c r="V194" s="24">
        <v>95510</v>
      </c>
      <c r="W194" s="22" t="s">
        <v>189</v>
      </c>
      <c r="X194" s="22" t="s">
        <v>1711</v>
      </c>
      <c r="Y194" s="22" t="s">
        <v>1712</v>
      </c>
      <c r="Z194" s="22" t="s">
        <v>1713</v>
      </c>
      <c r="AA194" s="22" t="s">
        <v>1714</v>
      </c>
      <c r="AB194" s="24">
        <v>12562</v>
      </c>
      <c r="AC194" s="24">
        <v>37915</v>
      </c>
      <c r="AD194" s="24">
        <v>42107</v>
      </c>
      <c r="AE194" s="22" t="s">
        <v>1715</v>
      </c>
      <c r="AF194" s="22" t="s">
        <v>1716</v>
      </c>
      <c r="AG194" s="22" t="s">
        <v>1717</v>
      </c>
      <c r="AH194" s="22" t="s">
        <v>1718</v>
      </c>
      <c r="AI194" s="22" t="s">
        <v>198</v>
      </c>
    </row>
    <row r="195" spans="22:35" x14ac:dyDescent="0.25">
      <c r="V195" s="24">
        <v>96010</v>
      </c>
      <c r="W195" s="22" t="s">
        <v>189</v>
      </c>
      <c r="X195" s="22" t="s">
        <v>1719</v>
      </c>
      <c r="Y195" s="22" t="s">
        <v>1720</v>
      </c>
      <c r="Z195" s="22" t="s">
        <v>1721</v>
      </c>
      <c r="AA195" s="22" t="s">
        <v>1722</v>
      </c>
      <c r="AB195" s="24">
        <v>12619</v>
      </c>
      <c r="AC195" s="24">
        <v>37889</v>
      </c>
      <c r="AD195" s="24">
        <v>42112</v>
      </c>
      <c r="AE195" s="22" t="s">
        <v>1723</v>
      </c>
      <c r="AF195" s="22" t="s">
        <v>1724</v>
      </c>
      <c r="AG195" s="22" t="s">
        <v>1725</v>
      </c>
      <c r="AH195" s="22" t="s">
        <v>1726</v>
      </c>
      <c r="AI195" s="22" t="s">
        <v>198</v>
      </c>
    </row>
    <row r="196" spans="22:35" x14ac:dyDescent="0.25">
      <c r="V196" s="24">
        <v>96510</v>
      </c>
      <c r="W196" s="22" t="s">
        <v>189</v>
      </c>
      <c r="X196" s="22" t="s">
        <v>1727</v>
      </c>
      <c r="Y196" s="22" t="s">
        <v>1728</v>
      </c>
      <c r="Z196" s="22" t="s">
        <v>1729</v>
      </c>
      <c r="AA196" s="22" t="s">
        <v>1730</v>
      </c>
      <c r="AB196" s="24">
        <v>12676</v>
      </c>
      <c r="AC196" s="24">
        <v>37863</v>
      </c>
      <c r="AD196" s="24">
        <v>42118</v>
      </c>
      <c r="AE196" s="22" t="s">
        <v>1034</v>
      </c>
      <c r="AF196" s="22" t="s">
        <v>1731</v>
      </c>
      <c r="AG196" s="22" t="s">
        <v>1732</v>
      </c>
      <c r="AH196" s="22" t="s">
        <v>1733</v>
      </c>
      <c r="AI196" s="22" t="s">
        <v>198</v>
      </c>
    </row>
    <row r="197" spans="22:35" x14ac:dyDescent="0.25">
      <c r="V197" s="24">
        <v>97010</v>
      </c>
      <c r="W197" s="22" t="s">
        <v>189</v>
      </c>
      <c r="X197" s="22" t="s">
        <v>1734</v>
      </c>
      <c r="Y197" s="22" t="s">
        <v>1735</v>
      </c>
      <c r="Z197" s="22" t="s">
        <v>1736</v>
      </c>
      <c r="AA197" s="22" t="s">
        <v>1737</v>
      </c>
      <c r="AB197" s="24">
        <v>12733</v>
      </c>
      <c r="AC197" s="24">
        <v>37837</v>
      </c>
      <c r="AD197" s="24">
        <v>42123</v>
      </c>
      <c r="AE197" s="22" t="s">
        <v>1738</v>
      </c>
      <c r="AF197" s="22" t="s">
        <v>1739</v>
      </c>
      <c r="AG197" s="22" t="s">
        <v>1740</v>
      </c>
      <c r="AH197" s="22" t="s">
        <v>1741</v>
      </c>
      <c r="AI197" s="22" t="s">
        <v>198</v>
      </c>
    </row>
    <row r="198" spans="22:35" x14ac:dyDescent="0.25">
      <c r="V198" s="24">
        <v>97510</v>
      </c>
      <c r="W198" s="22" t="s">
        <v>189</v>
      </c>
      <c r="X198" s="22" t="s">
        <v>1742</v>
      </c>
      <c r="Y198" s="22" t="s">
        <v>1743</v>
      </c>
      <c r="Z198" s="22" t="s">
        <v>1744</v>
      </c>
      <c r="AA198" s="22" t="s">
        <v>1745</v>
      </c>
      <c r="AB198" s="24">
        <v>12790</v>
      </c>
      <c r="AC198" s="24">
        <v>37811</v>
      </c>
      <c r="AD198" s="24">
        <v>42129</v>
      </c>
      <c r="AE198" s="22" t="s">
        <v>1746</v>
      </c>
      <c r="AF198" s="22" t="s">
        <v>1747</v>
      </c>
      <c r="AG198" s="22" t="s">
        <v>1748</v>
      </c>
      <c r="AH198" s="22" t="s">
        <v>1749</v>
      </c>
      <c r="AI198" s="22" t="s">
        <v>198</v>
      </c>
    </row>
    <row r="199" spans="22:35" x14ac:dyDescent="0.25">
      <c r="V199" s="24">
        <v>98010</v>
      </c>
      <c r="W199" s="22" t="s">
        <v>189</v>
      </c>
      <c r="X199" s="22" t="s">
        <v>1750</v>
      </c>
      <c r="Y199" s="22" t="s">
        <v>1751</v>
      </c>
      <c r="Z199" s="22" t="s">
        <v>1752</v>
      </c>
      <c r="AA199" s="22" t="s">
        <v>1753</v>
      </c>
      <c r="AB199" s="24">
        <v>12847</v>
      </c>
      <c r="AC199" s="24">
        <v>37785</v>
      </c>
      <c r="AD199" s="24">
        <v>42134</v>
      </c>
      <c r="AE199" s="22" t="s">
        <v>1754</v>
      </c>
      <c r="AF199" s="22" t="s">
        <v>1755</v>
      </c>
      <c r="AG199" s="22" t="s">
        <v>1756</v>
      </c>
      <c r="AH199" s="22" t="s">
        <v>1757</v>
      </c>
      <c r="AI199" s="22" t="s">
        <v>198</v>
      </c>
    </row>
    <row r="200" spans="22:35" x14ac:dyDescent="0.25">
      <c r="V200" s="24">
        <v>98510</v>
      </c>
      <c r="W200" s="22" t="s">
        <v>189</v>
      </c>
      <c r="X200" s="22" t="s">
        <v>1758</v>
      </c>
      <c r="Y200" s="22" t="s">
        <v>1759</v>
      </c>
      <c r="Z200" s="22" t="s">
        <v>1760</v>
      </c>
      <c r="AA200" s="22" t="s">
        <v>1761</v>
      </c>
      <c r="AB200" s="24">
        <v>12903</v>
      </c>
      <c r="AC200" s="24">
        <v>37759</v>
      </c>
      <c r="AD200" s="24">
        <v>42140</v>
      </c>
      <c r="AE200" s="22" t="s">
        <v>1762</v>
      </c>
      <c r="AF200" s="22" t="s">
        <v>1763</v>
      </c>
      <c r="AG200" s="22" t="s">
        <v>1764</v>
      </c>
      <c r="AH200" s="22" t="s">
        <v>1765</v>
      </c>
      <c r="AI200" s="22" t="s">
        <v>198</v>
      </c>
    </row>
    <row r="201" spans="22:35" x14ac:dyDescent="0.25">
      <c r="V201" s="24">
        <v>99010</v>
      </c>
      <c r="W201" s="22" t="s">
        <v>189</v>
      </c>
      <c r="X201" s="22" t="s">
        <v>1766</v>
      </c>
      <c r="Y201" s="22" t="s">
        <v>1767</v>
      </c>
      <c r="Z201" s="22" t="s">
        <v>1768</v>
      </c>
      <c r="AA201" s="22" t="s">
        <v>1769</v>
      </c>
      <c r="AB201" s="24">
        <v>12960</v>
      </c>
      <c r="AC201" s="24">
        <v>37733</v>
      </c>
      <c r="AD201" s="24">
        <v>42145</v>
      </c>
      <c r="AE201" s="22" t="s">
        <v>1770</v>
      </c>
      <c r="AF201" s="22" t="s">
        <v>1771</v>
      </c>
      <c r="AG201" s="22" t="s">
        <v>1772</v>
      </c>
      <c r="AH201" s="22" t="s">
        <v>1773</v>
      </c>
      <c r="AI201" s="22" t="s">
        <v>198</v>
      </c>
    </row>
    <row r="202" spans="22:35" x14ac:dyDescent="0.25">
      <c r="V202" s="24">
        <v>99510</v>
      </c>
      <c r="W202" s="22" t="s">
        <v>189</v>
      </c>
      <c r="X202" s="22" t="s">
        <v>1774</v>
      </c>
      <c r="Y202" s="22" t="s">
        <v>1775</v>
      </c>
      <c r="Z202" s="22" t="s">
        <v>1776</v>
      </c>
      <c r="AA202" s="22" t="s">
        <v>1777</v>
      </c>
      <c r="AB202" s="24">
        <v>13017</v>
      </c>
      <c r="AC202" s="24">
        <v>37707</v>
      </c>
      <c r="AD202" s="24">
        <v>42151</v>
      </c>
      <c r="AE202" s="22" t="s">
        <v>1778</v>
      </c>
      <c r="AF202" s="22" t="s">
        <v>1779</v>
      </c>
      <c r="AG202" s="22" t="s">
        <v>1780</v>
      </c>
      <c r="AH202" s="22" t="s">
        <v>1781</v>
      </c>
      <c r="AI202" s="22" t="s">
        <v>198</v>
      </c>
    </row>
    <row r="203" spans="22:35" x14ac:dyDescent="0.25">
      <c r="V203" s="24">
        <v>99974</v>
      </c>
      <c r="W203" s="22" t="s">
        <v>1782</v>
      </c>
      <c r="X203" s="22" t="s">
        <v>1783</v>
      </c>
      <c r="Y203" s="22" t="s">
        <v>1784</v>
      </c>
      <c r="Z203" s="22" t="s">
        <v>1785</v>
      </c>
      <c r="AA203" s="22" t="s">
        <v>1786</v>
      </c>
      <c r="AB203" s="24">
        <v>13069</v>
      </c>
      <c r="AC203" s="24">
        <v>37683</v>
      </c>
      <c r="AD203" s="24">
        <v>42156</v>
      </c>
      <c r="AE203" s="22" t="s">
        <v>1787</v>
      </c>
      <c r="AF203" s="22" t="s">
        <v>1788</v>
      </c>
      <c r="AG203" s="22" t="s">
        <v>1789</v>
      </c>
      <c r="AH203" s="22" t="s">
        <v>1790</v>
      </c>
      <c r="AI203" s="22" t="s">
        <v>198</v>
      </c>
    </row>
    <row r="204" spans="22:35" x14ac:dyDescent="0.25">
      <c r="V204" s="24">
        <v>99974</v>
      </c>
      <c r="W204" s="22" t="s">
        <v>1782</v>
      </c>
      <c r="X204" s="22" t="s">
        <v>1791</v>
      </c>
      <c r="Y204" s="24">
        <v>16732</v>
      </c>
      <c r="Z204" s="22" t="s">
        <v>1792</v>
      </c>
      <c r="AA204" s="22" t="s">
        <v>1793</v>
      </c>
      <c r="AB204" s="24">
        <v>73544</v>
      </c>
      <c r="AC204" s="24">
        <v>15558</v>
      </c>
      <c r="AD204" s="24">
        <v>20799</v>
      </c>
      <c r="AE204" s="22" t="s">
        <v>1794</v>
      </c>
      <c r="AF204" s="24">
        <v>66729</v>
      </c>
      <c r="AG204" s="24">
        <v>12268</v>
      </c>
      <c r="AH204" s="22" t="s">
        <v>1795</v>
      </c>
      <c r="AI204" s="22" t="s">
        <v>1796</v>
      </c>
    </row>
    <row r="205" spans="22:35" x14ac:dyDescent="0.25">
      <c r="V205" s="22" t="s">
        <v>1797</v>
      </c>
      <c r="W205" s="22" t="s">
        <v>189</v>
      </c>
      <c r="X205" s="22" t="s">
        <v>442</v>
      </c>
      <c r="Y205" s="24">
        <v>16734</v>
      </c>
      <c r="Z205" s="22" t="s">
        <v>1792</v>
      </c>
      <c r="AA205" s="22" t="s">
        <v>1798</v>
      </c>
      <c r="AB205" s="24">
        <v>73546</v>
      </c>
      <c r="AC205" s="24">
        <v>15556</v>
      </c>
      <c r="AD205" s="24">
        <v>20798</v>
      </c>
      <c r="AE205" s="22" t="s">
        <v>1799</v>
      </c>
      <c r="AF205" s="24">
        <v>66693</v>
      </c>
      <c r="AG205" s="24">
        <v>12270</v>
      </c>
      <c r="AH205" s="22" t="s">
        <v>1800</v>
      </c>
      <c r="AI205" s="22" t="s">
        <v>1796</v>
      </c>
    </row>
  </sheetData>
  <mergeCells count="12">
    <mergeCell ref="J22:J23"/>
    <mergeCell ref="J24:J25"/>
    <mergeCell ref="J20:J21"/>
    <mergeCell ref="J18:J19"/>
    <mergeCell ref="J14:J15"/>
    <mergeCell ref="J16:J17"/>
    <mergeCell ref="J2:J3"/>
    <mergeCell ref="J12:J13"/>
    <mergeCell ref="J10:J11"/>
    <mergeCell ref="J6:J7"/>
    <mergeCell ref="J8:J9"/>
    <mergeCell ref="J4:J5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</vt:i4>
      </vt:variant>
    </vt:vector>
  </HeadingPairs>
  <TitlesOfParts>
    <vt:vector size="16" baseType="lpstr">
      <vt:lpstr>Abwärmequellen</vt:lpstr>
      <vt:lpstr>Abwärme vermeiden</vt:lpstr>
      <vt:lpstr>Wärmesenken</vt:lpstr>
      <vt:lpstr>Stoffwerte</vt:lpstr>
      <vt:lpstr>Abwärmequellen!a</vt:lpstr>
      <vt:lpstr>Wärmesenken!a</vt:lpstr>
      <vt:lpstr>Abwärmequellen!baBrennstoff</vt:lpstr>
      <vt:lpstr>Wärmesenken!baBrennstoff</vt:lpstr>
      <vt:lpstr>Abwärmequellen!baSonstige</vt:lpstr>
      <vt:lpstr>Wärmesenken!baSonstige</vt:lpstr>
      <vt:lpstr>Abwärmequellen!baStrom</vt:lpstr>
      <vt:lpstr>Wärmesenken!baStrom</vt:lpstr>
      <vt:lpstr>Last</vt:lpstr>
      <vt:lpstr>Stoffwerte!oben</vt:lpstr>
      <vt:lpstr>Abwärmequellen!q</vt:lpstr>
      <vt:lpstr>Wärmesenken!q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charlie.kalauch@saena.de;charlie.kalauch@saena.de;Bränzel;Juliane</dc:creator>
  <cp:lastModifiedBy>Kalauch, Charlie</cp:lastModifiedBy>
  <cp:lastPrinted>2019-08-30T09:16:40Z</cp:lastPrinted>
  <dcterms:created xsi:type="dcterms:W3CDTF">2018-08-24T14:42:37Z</dcterms:created>
  <dcterms:modified xsi:type="dcterms:W3CDTF">2020-02-28T14:35:56Z</dcterms:modified>
</cp:coreProperties>
</file>