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1070" activeTab="1"/>
  </bookViews>
  <sheets>
    <sheet name="HST 100 W " sheetId="1" r:id="rId1"/>
    <sheet name="HST 100 W Reduzierung" sheetId="2" r:id="rId2"/>
  </sheets>
  <definedNames/>
  <calcPr fullCalcOnLoad="1"/>
</workbook>
</file>

<file path=xl/sharedStrings.xml><?xml version="1.0" encoding="utf-8"?>
<sst xmlns="http://schemas.openxmlformats.org/spreadsheetml/2006/main" count="110" uniqueCount="55">
  <si>
    <t>Leuchte</t>
  </si>
  <si>
    <t>Kosten Leuchtmittel / LED Modul [€]</t>
  </si>
  <si>
    <t>Kosten Vorschaltgeräte/ Treiber</t>
  </si>
  <si>
    <t>Material</t>
  </si>
  <si>
    <t>Systemleistung [W]</t>
  </si>
  <si>
    <t>Preis pro kWh [€]</t>
  </si>
  <si>
    <t xml:space="preserve">Tätigkeiten </t>
  </si>
  <si>
    <t>An- und Rückfahrt [min]</t>
  </si>
  <si>
    <t>Installations-/ Wartungszyklen</t>
  </si>
  <si>
    <t>Leuchtenreinigung [a]</t>
  </si>
  <si>
    <t>Tätigkeiten BGV A3 [a]</t>
  </si>
  <si>
    <t>Steigerrüstzeit pro Lichtpunkt [min]</t>
  </si>
  <si>
    <t>Tausch Leuchte [min]</t>
  </si>
  <si>
    <t>Tausch Leuchtmittel/ LED Modul [min]</t>
  </si>
  <si>
    <t>Tausch Vorschaltgeräte/ Treiber [min]</t>
  </si>
  <si>
    <t>Leuchtenreinigung [min]</t>
  </si>
  <si>
    <t>Tätigkeiten BGV A3 [min]</t>
  </si>
  <si>
    <t>Lebensdauer der Leuchte [a]</t>
  </si>
  <si>
    <t>Lebensdauer Leuchtmittel / LED Modul  [a]</t>
  </si>
  <si>
    <t>Lebensdauer Vorschaltgeräte/ Treiber  [a]</t>
  </si>
  <si>
    <t>Fahrtkosten / Steigerkosten pro Stunde [€]</t>
  </si>
  <si>
    <t>Personalkosten 2 Mitarbeiter pro Stunde [€]</t>
  </si>
  <si>
    <t>Kostensteigerungen</t>
  </si>
  <si>
    <t>jährliche Steigerung für Personal</t>
  </si>
  <si>
    <t>Anzahl der Lichtpunkte</t>
  </si>
  <si>
    <t>Jahr</t>
  </si>
  <si>
    <t>Leuchtmittel</t>
  </si>
  <si>
    <t>Tätigkeiten nach BGV A3</t>
  </si>
  <si>
    <t>Vorschalt-geräte</t>
  </si>
  <si>
    <t>Tausch des Leucht- mittels</t>
  </si>
  <si>
    <t>Tausch  Vorschalt- geräte</t>
  </si>
  <si>
    <t>Leuchten- reinigung</t>
  </si>
  <si>
    <t>Materialkosten [€]</t>
  </si>
  <si>
    <t>Fahrtkosten [€]</t>
  </si>
  <si>
    <t>Energiekosten [€]</t>
  </si>
  <si>
    <t>jährliche Steigerung für Material</t>
  </si>
  <si>
    <t>jährliche Steigerung für Energie</t>
  </si>
  <si>
    <t>Installation der Leuchte</t>
  </si>
  <si>
    <t>Personalkosten [€]</t>
  </si>
  <si>
    <t>jährliche Steigerung für Fahrtkosten</t>
  </si>
  <si>
    <t>Energie</t>
  </si>
  <si>
    <t xml:space="preserve">Brenndauer 1 [h] pro Jahr bei Leistung   </t>
  </si>
  <si>
    <t xml:space="preserve">Brenndauer 2 [h] pro Jahr bei Leistung </t>
  </si>
  <si>
    <t>Brenndauer 3 [h] pro Jahr bei Leistung</t>
  </si>
  <si>
    <t xml:space="preserve">Brenndauer 4 [h] pro Jahr bei Leistung  </t>
  </si>
  <si>
    <t>Kosten</t>
  </si>
  <si>
    <t>Gesamt [€]</t>
  </si>
  <si>
    <t>Kapitalwert [€]</t>
  </si>
  <si>
    <t>Summe (0 - 24)</t>
  </si>
  <si>
    <t>Energieeffizienzfaktor bei Komponententausch</t>
  </si>
  <si>
    <t>elektrische Arbeit [kWh]</t>
  </si>
  <si>
    <t>Kalkulationszins</t>
  </si>
  <si>
    <t>HST 100 W Doppelbrenner</t>
  </si>
  <si>
    <t>Summe (0 - 11)</t>
  </si>
  <si>
    <t>Kosten der Leuchte/ Komponente [€]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</si>
</sst>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9" fontId="0" fillId="34" borderId="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0" fillId="33" borderId="17" xfId="0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3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3" fontId="0" fillId="35" borderId="20" xfId="0" applyNumberFormat="1" applyFill="1" applyBorder="1" applyAlignment="1">
      <alignment/>
    </xf>
    <xf numFmtId="3" fontId="0" fillId="35" borderId="2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26" xfId="0" applyNumberFormat="1" applyFill="1" applyBorder="1" applyAlignment="1">
      <alignment/>
    </xf>
    <xf numFmtId="0" fontId="0" fillId="36" borderId="26" xfId="0" applyFill="1" applyBorder="1" applyAlignment="1">
      <alignment wrapText="1"/>
    </xf>
    <xf numFmtId="0" fontId="0" fillId="36" borderId="29" xfId="0" applyFill="1" applyBorder="1" applyAlignment="1">
      <alignment wrapText="1"/>
    </xf>
    <xf numFmtId="3" fontId="0" fillId="36" borderId="28" xfId="0" applyNumberFormat="1" applyFill="1" applyBorder="1" applyAlignment="1">
      <alignment/>
    </xf>
    <xf numFmtId="3" fontId="0" fillId="36" borderId="26" xfId="0" applyNumberFormat="1" applyFill="1" applyBorder="1" applyAlignment="1">
      <alignment/>
    </xf>
    <xf numFmtId="0" fontId="0" fillId="35" borderId="22" xfId="0" applyFill="1" applyBorder="1" applyAlignment="1">
      <alignment wrapText="1"/>
    </xf>
    <xf numFmtId="0" fontId="0" fillId="36" borderId="30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3" fontId="0" fillId="36" borderId="31" xfId="0" applyNumberFormat="1" applyFill="1" applyBorder="1" applyAlignment="1">
      <alignment/>
    </xf>
    <xf numFmtId="3" fontId="0" fillId="36" borderId="30" xfId="0" applyNumberFormat="1" applyFill="1" applyBorder="1" applyAlignment="1">
      <alignment/>
    </xf>
    <xf numFmtId="0" fontId="0" fillId="37" borderId="32" xfId="0" applyFill="1" applyBorder="1" applyAlignment="1">
      <alignment horizontal="center"/>
    </xf>
    <xf numFmtId="3" fontId="0" fillId="37" borderId="33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0" fillId="38" borderId="32" xfId="0" applyFill="1" applyBorder="1" applyAlignment="1">
      <alignment horizontal="center"/>
    </xf>
    <xf numFmtId="3" fontId="0" fillId="38" borderId="33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36" borderId="3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3" fontId="0" fillId="36" borderId="36" xfId="0" applyNumberFormat="1" applyFill="1" applyBorder="1" applyAlignment="1">
      <alignment/>
    </xf>
    <xf numFmtId="3" fontId="0" fillId="36" borderId="35" xfId="0" applyNumberFormat="1" applyFill="1" applyBorder="1" applyAlignment="1">
      <alignment/>
    </xf>
    <xf numFmtId="0" fontId="0" fillId="35" borderId="23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3" fontId="0" fillId="35" borderId="21" xfId="0" applyNumberFormat="1" applyFill="1" applyBorder="1" applyAlignment="1">
      <alignment/>
    </xf>
    <xf numFmtId="3" fontId="0" fillId="35" borderId="23" xfId="0" applyNumberForma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10" fontId="0" fillId="33" borderId="39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38" borderId="33" xfId="0" applyFill="1" applyBorder="1" applyAlignment="1">
      <alignment wrapText="1"/>
    </xf>
    <xf numFmtId="0" fontId="0" fillId="37" borderId="40" xfId="0" applyFill="1" applyBorder="1" applyAlignment="1">
      <alignment/>
    </xf>
    <xf numFmtId="0" fontId="0" fillId="38" borderId="40" xfId="0" applyFill="1" applyBorder="1" applyAlignment="1">
      <alignment/>
    </xf>
    <xf numFmtId="0" fontId="0" fillId="37" borderId="34" xfId="0" applyFill="1" applyBorder="1" applyAlignment="1">
      <alignment/>
    </xf>
    <xf numFmtId="0" fontId="0" fillId="38" borderId="34" xfId="0" applyFill="1" applyBorder="1" applyAlignment="1">
      <alignment/>
    </xf>
    <xf numFmtId="0" fontId="0" fillId="36" borderId="41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3" fontId="2" fillId="0" borderId="0" xfId="0" applyNumberFormat="1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3"/>
  <sheetViews>
    <sheetView zoomScalePageLayoutView="0" workbookViewId="0" topLeftCell="A4">
      <selection activeCell="I5" sqref="I5:J29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25</v>
      </c>
      <c r="H2" s="87" t="s">
        <v>32</v>
      </c>
      <c r="I2" s="88"/>
      <c r="J2" s="89"/>
      <c r="K2" s="84" t="s">
        <v>38</v>
      </c>
      <c r="L2" s="85"/>
      <c r="M2" s="85"/>
      <c r="N2" s="85"/>
      <c r="O2" s="86"/>
      <c r="P2" s="55" t="s">
        <v>33</v>
      </c>
      <c r="Q2" s="58" t="s">
        <v>34</v>
      </c>
      <c r="R2" s="61" t="s">
        <v>46</v>
      </c>
      <c r="S2" s="31" t="s">
        <v>47</v>
      </c>
    </row>
    <row r="3" spans="2:23" ht="39" thickBot="1">
      <c r="B3" s="78" t="s">
        <v>52</v>
      </c>
      <c r="F3" s="34"/>
      <c r="G3" s="35"/>
      <c r="H3" s="50" t="s">
        <v>0</v>
      </c>
      <c r="I3" s="39" t="s">
        <v>26</v>
      </c>
      <c r="J3" s="71" t="s">
        <v>28</v>
      </c>
      <c r="K3" s="67" t="s">
        <v>37</v>
      </c>
      <c r="L3" s="46" t="s">
        <v>29</v>
      </c>
      <c r="M3" s="46" t="s">
        <v>30</v>
      </c>
      <c r="N3" s="46" t="s">
        <v>31</v>
      </c>
      <c r="O3" s="51" t="s">
        <v>27</v>
      </c>
      <c r="P3" s="82"/>
      <c r="Q3" s="83"/>
      <c r="R3" s="34"/>
      <c r="S3" s="35"/>
      <c r="W3" s="79" t="s">
        <v>50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>IF($D$9=0,"",IF(MOD(($D$10-G5),$D$10)=0,$D$7*$D$9*(1+$D$56)^G5,""))</f>
      </c>
      <c r="I5" s="43">
        <f>IF(H5&lt;&gt;0,IF(H6="",IF(H5="",IF(MOD(($D$13-G5),$D$13)=0,$D$7*$D$12*(1+$D$56)^G5,""),""),""),"")</f>
        <v>5000</v>
      </c>
      <c r="J5" s="73">
        <f>IF($D$15&lt;&gt;0,IF(G5&lt;&gt;0,IF(H6="",IF(H5="",IF(MOD(($D$16-G5),$D$16)=0,$D$7*$D$15*(1+$D$56)^G5,""),""),""),""),"")</f>
      </c>
      <c r="K5" s="69">
        <f aca="true" t="shared" si="1" ref="K5:K30">IF(H5&lt;&gt;"",$D$7*$D$50*$D$34/60*(1+$D$55)^G5,"")</f>
      </c>
      <c r="L5" s="48">
        <f aca="true" t="shared" si="2" ref="L5:L30">IF(I5&lt;&gt;"",$D$7*$D$50*$D$35/60*(1+$D$55)^G5,"")</f>
        <v>1500</v>
      </c>
      <c r="M5" s="48">
        <f aca="true" t="shared" si="3" ref="M5:M30">IF(J5&lt;&gt;"",$D$7*$D$50*$D$36/60*(1+$D$55)^G5,"")</f>
      </c>
      <c r="N5" s="48">
        <f aca="true" t="shared" si="4" ref="N5:N30">IF(H6="",IF(H5="",IF(MOD(($D$43-G5),$D$43)=0,$D$7*$D$37/60*$D$50*(1+$D$55)^G5,""),""),"")</f>
        <v>2500</v>
      </c>
      <c r="O5" s="53">
        <f aca="true" t="shared" si="5" ref="O5:O30">IF(H6="",IF(H5="",IF(MOD(($D$44-G5),$D$44)=0,$D$7*$D$38/60*$D$50*(1+$D$55)^G5,""),""),"")</f>
        <v>1500</v>
      </c>
      <c r="P5" s="56">
        <f aca="true" t="shared" si="6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3795</v>
      </c>
      <c r="Q5" s="59">
        <f aca="true" t="shared" si="7" ref="Q5:Q29">IF(U5&gt;0,$D$7*($C$22*$D$22+$C$23*$D$23+$C$24*$D$24+$C$25*$D$25)*$D$27*(1+$D$57)^G5*$D$21/1000/((1+$D$63)^V5),$D$7*($C$22*$D$22+$C$23*$D$23+$C$24*$D$24+$C$25*$D$25)*$D$27*(1+$D$57)^G5*$D$21/1000)</f>
        <v>19210</v>
      </c>
      <c r="R5" s="62">
        <f aca="true" t="shared" si="8" ref="R5:R30">SUM(H5:Q5)</f>
        <v>33505</v>
      </c>
      <c r="S5" s="63">
        <f aca="true" t="shared" si="9" ref="S5:S30">R5/(1+$D$60)^G5</f>
        <v>33505</v>
      </c>
      <c r="U5">
        <f aca="true" t="shared" si="10" ref="U5:U29">IF(L5="",U4,U4+1)</f>
        <v>1</v>
      </c>
      <c r="V5">
        <f aca="true" t="shared" si="11" ref="V5:V29">IF(L5="",V4,G4+1)</f>
        <v>1</v>
      </c>
      <c r="W5" s="2">
        <f aca="true" t="shared" si="12" ref="W5:W29">IF(U5&gt;0,$D$7*($C$22*$D$22+$C$23*$D$23+$C$24*$D$24+$C$25*$D$25)*$D$21/1000/((1+$D$63)^V5),$D$7*($C$22*$D$22+$C$23*$D$23+$C$24*$D$24+$C$25*$D$25)*$D$21/1000)</f>
        <v>113000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3" ref="G6:G30">G5+1</f>
        <v>1</v>
      </c>
      <c r="H6" s="42">
        <f aca="true" t="shared" si="14" ref="H6:H29">IF($D$9=0,"",IF(MOD(($D$10-G6),$D$10)=0,$D$7*$D$9*(1+$D$56)^G6,""))</f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1"/>
      </c>
      <c r="L6" s="48">
        <f t="shared" si="2"/>
      </c>
      <c r="M6" s="48">
        <f t="shared" si="3"/>
      </c>
      <c r="N6" s="48">
        <f t="shared" si="4"/>
      </c>
      <c r="O6" s="53">
        <f t="shared" si="5"/>
      </c>
      <c r="P6" s="56">
        <f t="shared" si="6"/>
      </c>
      <c r="Q6" s="59">
        <f t="shared" si="7"/>
        <v>19498.149999999998</v>
      </c>
      <c r="R6" s="62">
        <f t="shared" si="8"/>
        <v>19498.149999999998</v>
      </c>
      <c r="S6" s="63">
        <f t="shared" si="9"/>
        <v>19115.833333333332</v>
      </c>
      <c r="U6">
        <f t="shared" si="10"/>
        <v>1</v>
      </c>
      <c r="V6">
        <f t="shared" si="11"/>
        <v>1</v>
      </c>
      <c r="W6" s="2">
        <f t="shared" si="12"/>
        <v>113000</v>
      </c>
    </row>
    <row r="7" spans="2:23" ht="12.75">
      <c r="B7" s="28" t="s">
        <v>24</v>
      </c>
      <c r="C7" s="4"/>
      <c r="D7" s="19">
        <v>250</v>
      </c>
      <c r="F7" s="32">
        <f t="shared" si="0"/>
        <v>2016</v>
      </c>
      <c r="G7" s="33">
        <f t="shared" si="13"/>
        <v>2</v>
      </c>
      <c r="H7" s="42">
        <f t="shared" si="14"/>
      </c>
      <c r="I7" s="43">
        <f t="shared" si="15"/>
      </c>
      <c r="J7" s="73">
        <f t="shared" si="16"/>
      </c>
      <c r="K7" s="69">
        <f t="shared" si="1"/>
      </c>
      <c r="L7" s="48">
        <f t="shared" si="2"/>
      </c>
      <c r="M7" s="48">
        <f t="shared" si="3"/>
      </c>
      <c r="N7" s="48">
        <f t="shared" si="4"/>
      </c>
      <c r="O7" s="53">
        <f t="shared" si="5"/>
      </c>
      <c r="P7" s="56">
        <f t="shared" si="6"/>
      </c>
      <c r="Q7" s="59">
        <f t="shared" si="7"/>
        <v>19790.622249999993</v>
      </c>
      <c r="R7" s="62">
        <f t="shared" si="8"/>
        <v>19790.622249999993</v>
      </c>
      <c r="S7" s="63">
        <f t="shared" si="9"/>
        <v>19022.12826797385</v>
      </c>
      <c r="U7">
        <f t="shared" si="10"/>
        <v>1</v>
      </c>
      <c r="V7">
        <f t="shared" si="11"/>
        <v>1</v>
      </c>
      <c r="W7" s="2">
        <f t="shared" si="12"/>
        <v>113000</v>
      </c>
    </row>
    <row r="8" spans="2:23" ht="12.75">
      <c r="B8" s="18"/>
      <c r="C8" s="4"/>
      <c r="D8" s="19"/>
      <c r="F8" s="32">
        <f t="shared" si="0"/>
        <v>2017</v>
      </c>
      <c r="G8" s="33">
        <f t="shared" si="13"/>
        <v>3</v>
      </c>
      <c r="H8" s="42">
        <f t="shared" si="14"/>
      </c>
      <c r="I8" s="43">
        <f t="shared" si="15"/>
      </c>
      <c r="J8" s="73">
        <f t="shared" si="16"/>
      </c>
      <c r="K8" s="69">
        <f t="shared" si="1"/>
      </c>
      <c r="L8" s="48">
        <f t="shared" si="2"/>
      </c>
      <c r="M8" s="48">
        <f t="shared" si="3"/>
      </c>
      <c r="N8" s="48">
        <f t="shared" si="4"/>
      </c>
      <c r="O8" s="53">
        <f t="shared" si="5"/>
      </c>
      <c r="P8" s="56">
        <f t="shared" si="6"/>
      </c>
      <c r="Q8" s="59">
        <f t="shared" si="7"/>
        <v>20087.481583749992</v>
      </c>
      <c r="R8" s="62">
        <f t="shared" si="8"/>
        <v>20087.481583749992</v>
      </c>
      <c r="S8" s="63">
        <f t="shared" si="9"/>
        <v>18928.882541170056</v>
      </c>
      <c r="U8">
        <f t="shared" si="10"/>
        <v>1</v>
      </c>
      <c r="V8">
        <f t="shared" si="11"/>
        <v>1</v>
      </c>
      <c r="W8" s="2">
        <f t="shared" si="12"/>
        <v>113000</v>
      </c>
    </row>
    <row r="9" spans="2:23" ht="12.75">
      <c r="B9" s="18" t="s">
        <v>54</v>
      </c>
      <c r="C9" s="4"/>
      <c r="D9" s="19">
        <v>0</v>
      </c>
      <c r="F9" s="32">
        <f t="shared" si="0"/>
        <v>2018</v>
      </c>
      <c r="G9" s="33">
        <f t="shared" si="13"/>
        <v>4</v>
      </c>
      <c r="H9" s="42">
        <f t="shared" si="14"/>
      </c>
      <c r="I9" s="43">
        <f t="shared" si="15"/>
      </c>
      <c r="J9" s="73">
        <f t="shared" si="16"/>
      </c>
      <c r="K9" s="69">
        <f t="shared" si="1"/>
      </c>
      <c r="L9" s="48">
        <f t="shared" si="2"/>
      </c>
      <c r="M9" s="48">
        <f t="shared" si="3"/>
      </c>
      <c r="N9" s="48">
        <f t="shared" si="4"/>
        <v>2706.0804</v>
      </c>
      <c r="O9" s="53">
        <f t="shared" si="5"/>
        <v>1623.64824</v>
      </c>
      <c r="P9" s="56">
        <f t="shared" si="6"/>
        <v>4027.874674621873</v>
      </c>
      <c r="Q9" s="59">
        <f t="shared" si="7"/>
        <v>20388.79380750624</v>
      </c>
      <c r="R9" s="62">
        <f t="shared" si="8"/>
        <v>28746.397122128114</v>
      </c>
      <c r="S9" s="63">
        <f t="shared" si="9"/>
        <v>26557.22749601981</v>
      </c>
      <c r="U9">
        <f t="shared" si="10"/>
        <v>1</v>
      </c>
      <c r="V9">
        <f t="shared" si="11"/>
        <v>1</v>
      </c>
      <c r="W9" s="2">
        <f t="shared" si="12"/>
        <v>113000</v>
      </c>
    </row>
    <row r="10" spans="2:23" ht="12.75">
      <c r="B10" s="18" t="s">
        <v>17</v>
      </c>
      <c r="C10" s="4"/>
      <c r="D10" s="19">
        <v>25</v>
      </c>
      <c r="F10" s="32">
        <f t="shared" si="0"/>
        <v>2019</v>
      </c>
      <c r="G10" s="33">
        <f t="shared" si="13"/>
        <v>5</v>
      </c>
      <c r="H10" s="42">
        <f t="shared" si="14"/>
      </c>
      <c r="I10" s="43">
        <f t="shared" si="15"/>
      </c>
      <c r="J10" s="73">
        <f t="shared" si="16"/>
      </c>
      <c r="K10" s="69">
        <f t="shared" si="1"/>
      </c>
      <c r="L10" s="48">
        <f t="shared" si="2"/>
      </c>
      <c r="M10" s="48">
        <f t="shared" si="3"/>
      </c>
      <c r="N10" s="48">
        <f t="shared" si="4"/>
      </c>
      <c r="O10" s="53">
        <f t="shared" si="5"/>
      </c>
      <c r="P10" s="56">
        <f t="shared" si="6"/>
      </c>
      <c r="Q10" s="59">
        <f t="shared" si="7"/>
        <v>20694.62571461883</v>
      </c>
      <c r="R10" s="62">
        <f t="shared" si="8"/>
        <v>20694.62571461883</v>
      </c>
      <c r="S10" s="63">
        <f t="shared" si="9"/>
        <v>18743.760107628714</v>
      </c>
      <c r="U10">
        <f t="shared" si="10"/>
        <v>1</v>
      </c>
      <c r="V10">
        <f t="shared" si="11"/>
        <v>1</v>
      </c>
      <c r="W10" s="2">
        <f t="shared" si="12"/>
        <v>113000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3"/>
        <v>6</v>
      </c>
      <c r="H11" s="42">
        <f t="shared" si="14"/>
      </c>
      <c r="I11" s="43">
        <f t="shared" si="15"/>
      </c>
      <c r="J11" s="73">
        <f t="shared" si="16"/>
      </c>
      <c r="K11" s="69">
        <f t="shared" si="1"/>
      </c>
      <c r="L11" s="48">
        <f t="shared" si="2"/>
      </c>
      <c r="M11" s="48">
        <f t="shared" si="3"/>
      </c>
      <c r="N11" s="48">
        <f t="shared" si="4"/>
      </c>
      <c r="O11" s="53">
        <f t="shared" si="5"/>
      </c>
      <c r="P11" s="56">
        <f t="shared" si="6"/>
      </c>
      <c r="Q11" s="59">
        <f t="shared" si="7"/>
        <v>21005.04510033811</v>
      </c>
      <c r="R11" s="62">
        <f t="shared" si="8"/>
        <v>21005.04510033811</v>
      </c>
      <c r="S11" s="63">
        <f t="shared" si="9"/>
        <v>18651.87893063053</v>
      </c>
      <c r="U11">
        <f t="shared" si="10"/>
        <v>1</v>
      </c>
      <c r="V11">
        <f t="shared" si="11"/>
        <v>1</v>
      </c>
      <c r="W11" s="2">
        <f t="shared" si="12"/>
        <v>113000</v>
      </c>
    </row>
    <row r="12" spans="2:23" ht="12.75">
      <c r="B12" s="18" t="s">
        <v>1</v>
      </c>
      <c r="C12" s="4"/>
      <c r="D12" s="19">
        <v>20</v>
      </c>
      <c r="F12" s="32">
        <f t="shared" si="0"/>
        <v>2021</v>
      </c>
      <c r="G12" s="33">
        <f t="shared" si="13"/>
        <v>7</v>
      </c>
      <c r="H12" s="42">
        <f t="shared" si="14"/>
      </c>
      <c r="I12" s="43">
        <f t="shared" si="15"/>
      </c>
      <c r="J12" s="73">
        <f t="shared" si="16"/>
      </c>
      <c r="K12" s="69">
        <f t="shared" si="1"/>
      </c>
      <c r="L12" s="48">
        <f t="shared" si="2"/>
      </c>
      <c r="M12" s="48">
        <f t="shared" si="3"/>
      </c>
      <c r="N12" s="48">
        <f t="shared" si="4"/>
      </c>
      <c r="O12" s="53">
        <f t="shared" si="5"/>
      </c>
      <c r="P12" s="56">
        <f t="shared" si="6"/>
      </c>
      <c r="Q12" s="59">
        <f t="shared" si="7"/>
        <v>21320.120776843174</v>
      </c>
      <c r="R12" s="62">
        <f t="shared" si="8"/>
        <v>21320.120776843174</v>
      </c>
      <c r="S12" s="63">
        <f t="shared" si="9"/>
        <v>18560.448151558812</v>
      </c>
      <c r="U12">
        <f t="shared" si="10"/>
        <v>1</v>
      </c>
      <c r="V12">
        <f t="shared" si="11"/>
        <v>1</v>
      </c>
      <c r="W12" s="2">
        <f t="shared" si="12"/>
        <v>113000</v>
      </c>
    </row>
    <row r="13" spans="2:23" ht="12.75">
      <c r="B13" s="18" t="s">
        <v>18</v>
      </c>
      <c r="C13" s="4"/>
      <c r="D13" s="19">
        <v>12</v>
      </c>
      <c r="F13" s="32">
        <f t="shared" si="0"/>
        <v>2022</v>
      </c>
      <c r="G13" s="33">
        <f t="shared" si="13"/>
        <v>8</v>
      </c>
      <c r="H13" s="42">
        <f t="shared" si="14"/>
      </c>
      <c r="I13" s="43">
        <f t="shared" si="15"/>
      </c>
      <c r="J13" s="73">
        <f t="shared" si="16"/>
      </c>
      <c r="K13" s="69">
        <f t="shared" si="1"/>
      </c>
      <c r="L13" s="48">
        <f t="shared" si="2"/>
      </c>
      <c r="M13" s="48">
        <f t="shared" si="3"/>
      </c>
      <c r="N13" s="48">
        <f t="shared" si="4"/>
        <v>2929.148452505664</v>
      </c>
      <c r="O13" s="53">
        <f t="shared" si="5"/>
        <v>1757.4890715033982</v>
      </c>
      <c r="P13" s="56">
        <f t="shared" si="6"/>
        <v>4275.0393661291855</v>
      </c>
      <c r="Q13" s="59">
        <f t="shared" si="7"/>
        <v>21639.922588495825</v>
      </c>
      <c r="R13" s="62">
        <f t="shared" si="8"/>
        <v>30601.599478634074</v>
      </c>
      <c r="S13" s="63">
        <f t="shared" si="9"/>
        <v>26118.170498030522</v>
      </c>
      <c r="U13">
        <f t="shared" si="10"/>
        <v>1</v>
      </c>
      <c r="V13">
        <f t="shared" si="11"/>
        <v>1</v>
      </c>
      <c r="W13" s="2">
        <f t="shared" si="12"/>
        <v>113000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3"/>
        <v>9</v>
      </c>
      <c r="H14" s="42">
        <f t="shared" si="14"/>
      </c>
      <c r="I14" s="43">
        <f t="shared" si="15"/>
      </c>
      <c r="J14" s="73">
        <f t="shared" si="16"/>
      </c>
      <c r="K14" s="69">
        <f t="shared" si="1"/>
      </c>
      <c r="L14" s="48">
        <f t="shared" si="2"/>
      </c>
      <c r="M14" s="48">
        <f t="shared" si="3"/>
      </c>
      <c r="N14" s="48">
        <f t="shared" si="4"/>
      </c>
      <c r="O14" s="53">
        <f t="shared" si="5"/>
      </c>
      <c r="P14" s="56">
        <f t="shared" si="6"/>
      </c>
      <c r="Q14" s="59">
        <f t="shared" si="7"/>
        <v>21964.521427323256</v>
      </c>
      <c r="R14" s="62">
        <f t="shared" si="8"/>
        <v>21964.521427323256</v>
      </c>
      <c r="S14" s="63">
        <f t="shared" si="9"/>
        <v>18378.928966685573</v>
      </c>
      <c r="U14">
        <f t="shared" si="10"/>
        <v>1</v>
      </c>
      <c r="V14">
        <f t="shared" si="11"/>
        <v>1</v>
      </c>
      <c r="W14" s="2">
        <f t="shared" si="12"/>
        <v>113000</v>
      </c>
    </row>
    <row r="15" spans="2:23" ht="12.75">
      <c r="B15" s="18" t="s">
        <v>2</v>
      </c>
      <c r="C15" s="4"/>
      <c r="D15" s="19">
        <v>20</v>
      </c>
      <c r="F15" s="32">
        <f t="shared" si="0"/>
        <v>2024</v>
      </c>
      <c r="G15" s="33">
        <f t="shared" si="13"/>
        <v>10</v>
      </c>
      <c r="H15" s="42">
        <f t="shared" si="14"/>
      </c>
      <c r="I15" s="43">
        <f t="shared" si="15"/>
      </c>
      <c r="J15" s="73">
        <f t="shared" si="16"/>
      </c>
      <c r="K15" s="69">
        <f t="shared" si="1"/>
      </c>
      <c r="L15" s="48">
        <f t="shared" si="2"/>
      </c>
      <c r="M15" s="48">
        <f t="shared" si="3"/>
      </c>
      <c r="N15" s="48">
        <f t="shared" si="4"/>
      </c>
      <c r="O15" s="53">
        <f t="shared" si="5"/>
      </c>
      <c r="P15" s="56">
        <f t="shared" si="6"/>
      </c>
      <c r="Q15" s="59">
        <f t="shared" si="7"/>
        <v>22293.9892487331</v>
      </c>
      <c r="R15" s="62">
        <f t="shared" si="8"/>
        <v>22293.9892487331</v>
      </c>
      <c r="S15" s="63">
        <f t="shared" si="9"/>
        <v>18288.83617763319</v>
      </c>
      <c r="U15">
        <f t="shared" si="10"/>
        <v>1</v>
      </c>
      <c r="V15">
        <f t="shared" si="11"/>
        <v>1</v>
      </c>
      <c r="W15" s="2">
        <f t="shared" si="12"/>
        <v>113000</v>
      </c>
    </row>
    <row r="16" spans="2:23" ht="12.75">
      <c r="B16" s="21" t="s">
        <v>19</v>
      </c>
      <c r="C16" s="22"/>
      <c r="D16" s="29">
        <v>25</v>
      </c>
      <c r="F16" s="32">
        <f t="shared" si="0"/>
        <v>2025</v>
      </c>
      <c r="G16" s="33">
        <f t="shared" si="13"/>
        <v>11</v>
      </c>
      <c r="H16" s="42">
        <f t="shared" si="14"/>
      </c>
      <c r="I16" s="43">
        <f t="shared" si="15"/>
      </c>
      <c r="J16" s="73">
        <f t="shared" si="16"/>
      </c>
      <c r="K16" s="69">
        <f t="shared" si="1"/>
      </c>
      <c r="L16" s="48">
        <f t="shared" si="2"/>
      </c>
      <c r="M16" s="48">
        <f t="shared" si="3"/>
      </c>
      <c r="N16" s="48">
        <f t="shared" si="4"/>
      </c>
      <c r="O16" s="53">
        <f t="shared" si="5"/>
      </c>
      <c r="P16" s="56">
        <f t="shared" si="6"/>
      </c>
      <c r="Q16" s="59">
        <f t="shared" si="7"/>
        <v>22628.3990874641</v>
      </c>
      <c r="R16" s="62">
        <f t="shared" si="8"/>
        <v>22628.3990874641</v>
      </c>
      <c r="S16" s="63">
        <f t="shared" si="9"/>
        <v>18199.185019899698</v>
      </c>
      <c r="U16">
        <f t="shared" si="10"/>
        <v>1</v>
      </c>
      <c r="V16">
        <f t="shared" si="11"/>
        <v>1</v>
      </c>
      <c r="W16" s="2">
        <f t="shared" si="12"/>
        <v>113000</v>
      </c>
    </row>
    <row r="17" spans="6:23" ht="12.75">
      <c r="F17" s="32">
        <f t="shared" si="0"/>
        <v>2026</v>
      </c>
      <c r="G17" s="33">
        <f t="shared" si="13"/>
        <v>12</v>
      </c>
      <c r="H17" s="42">
        <f t="shared" si="14"/>
      </c>
      <c r="I17" s="43">
        <f t="shared" si="15"/>
        <v>5978.090857307667</v>
      </c>
      <c r="J17" s="73">
        <f t="shared" si="16"/>
      </c>
      <c r="K17" s="69">
        <f t="shared" si="1"/>
      </c>
      <c r="L17" s="48">
        <f t="shared" si="2"/>
        <v>1902.3626918438179</v>
      </c>
      <c r="M17" s="48">
        <f t="shared" si="3"/>
      </c>
      <c r="N17" s="48">
        <f t="shared" si="4"/>
        <v>3170.6044864063633</v>
      </c>
      <c r="O17" s="53">
        <f t="shared" si="5"/>
        <v>1902.3626918438179</v>
      </c>
      <c r="P17" s="56">
        <f t="shared" si="6"/>
        <v>4537.3709606965185</v>
      </c>
      <c r="Q17" s="59">
        <f t="shared" si="7"/>
        <v>22967.825073776054</v>
      </c>
      <c r="R17" s="62">
        <f t="shared" si="8"/>
        <v>40458.61676187424</v>
      </c>
      <c r="S17" s="63">
        <f t="shared" si="9"/>
        <v>31901.343210211453</v>
      </c>
      <c r="U17">
        <f t="shared" si="10"/>
        <v>2</v>
      </c>
      <c r="V17">
        <f t="shared" si="11"/>
        <v>12</v>
      </c>
      <c r="W17" s="2">
        <f t="shared" si="12"/>
        <v>113000</v>
      </c>
    </row>
    <row r="18" spans="6:23" ht="12.75">
      <c r="F18" s="32">
        <f t="shared" si="0"/>
        <v>2027</v>
      </c>
      <c r="G18" s="33">
        <f t="shared" si="13"/>
        <v>13</v>
      </c>
      <c r="H18" s="42">
        <f t="shared" si="14"/>
      </c>
      <c r="I18" s="43">
        <f t="shared" si="15"/>
      </c>
      <c r="J18" s="73">
        <f t="shared" si="16"/>
      </c>
      <c r="K18" s="69">
        <f t="shared" si="1"/>
      </c>
      <c r="L18" s="48">
        <f t="shared" si="2"/>
      </c>
      <c r="M18" s="48">
        <f t="shared" si="3"/>
      </c>
      <c r="N18" s="48">
        <f t="shared" si="4"/>
      </c>
      <c r="O18" s="53">
        <f t="shared" si="5"/>
      </c>
      <c r="P18" s="56">
        <f t="shared" si="6"/>
      </c>
      <c r="Q18" s="59">
        <f t="shared" si="7"/>
        <v>23312.342449882693</v>
      </c>
      <c r="R18" s="62">
        <f t="shared" si="8"/>
        <v>23312.342449882693</v>
      </c>
      <c r="S18" s="63">
        <f t="shared" si="9"/>
        <v>18021.198949563783</v>
      </c>
      <c r="U18">
        <f t="shared" si="10"/>
        <v>2</v>
      </c>
      <c r="V18">
        <f t="shared" si="11"/>
        <v>12</v>
      </c>
      <c r="W18" s="2">
        <f t="shared" si="12"/>
        <v>113000</v>
      </c>
    </row>
    <row r="19" spans="2:23" ht="12.75">
      <c r="B19" s="5" t="s">
        <v>40</v>
      </c>
      <c r="C19" s="6"/>
      <c r="D19" s="7"/>
      <c r="F19" s="32">
        <f t="shared" si="0"/>
        <v>2028</v>
      </c>
      <c r="G19" s="33">
        <f t="shared" si="13"/>
        <v>14</v>
      </c>
      <c r="H19" s="42">
        <f t="shared" si="14"/>
      </c>
      <c r="I19" s="43">
        <f t="shared" si="15"/>
      </c>
      <c r="J19" s="73">
        <f t="shared" si="16"/>
      </c>
      <c r="K19" s="69">
        <f t="shared" si="1"/>
      </c>
      <c r="L19" s="48">
        <f t="shared" si="2"/>
      </c>
      <c r="M19" s="48">
        <f t="shared" si="3"/>
      </c>
      <c r="N19" s="48">
        <f t="shared" si="4"/>
      </c>
      <c r="O19" s="53">
        <f t="shared" si="5"/>
      </c>
      <c r="P19" s="56">
        <f t="shared" si="6"/>
      </c>
      <c r="Q19" s="59">
        <f t="shared" si="7"/>
        <v>23662.027586630924</v>
      </c>
      <c r="R19" s="62">
        <f t="shared" si="8"/>
        <v>23662.027586630924</v>
      </c>
      <c r="S19" s="63">
        <f t="shared" si="9"/>
        <v>17932.859739026695</v>
      </c>
      <c r="U19">
        <f t="shared" si="10"/>
        <v>2</v>
      </c>
      <c r="V19">
        <f t="shared" si="11"/>
        <v>12</v>
      </c>
      <c r="W19" s="2">
        <f t="shared" si="12"/>
        <v>113000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3"/>
        <v>15</v>
      </c>
      <c r="H20" s="42">
        <f t="shared" si="14"/>
      </c>
      <c r="I20" s="43">
        <f t="shared" si="15"/>
      </c>
      <c r="J20" s="73">
        <f t="shared" si="16"/>
      </c>
      <c r="K20" s="69">
        <f t="shared" si="1"/>
      </c>
      <c r="L20" s="48">
        <f t="shared" si="2"/>
      </c>
      <c r="M20" s="48">
        <f t="shared" si="3"/>
      </c>
      <c r="N20" s="48">
        <f t="shared" si="4"/>
      </c>
      <c r="O20" s="53">
        <f t="shared" si="5"/>
      </c>
      <c r="P20" s="56">
        <f t="shared" si="6"/>
      </c>
      <c r="Q20" s="59">
        <f t="shared" si="7"/>
        <v>24016.958000430386</v>
      </c>
      <c r="R20" s="62">
        <f t="shared" si="8"/>
        <v>24016.958000430386</v>
      </c>
      <c r="S20" s="63">
        <f t="shared" si="9"/>
        <v>17844.953563835392</v>
      </c>
      <c r="U20">
        <f t="shared" si="10"/>
        <v>2</v>
      </c>
      <c r="V20">
        <f t="shared" si="11"/>
        <v>12</v>
      </c>
      <c r="W20" s="2">
        <f t="shared" si="12"/>
        <v>113000</v>
      </c>
    </row>
    <row r="21" spans="2:23" ht="12.75">
      <c r="B21" s="8" t="s">
        <v>4</v>
      </c>
      <c r="C21" s="9"/>
      <c r="D21" s="10">
        <v>113</v>
      </c>
      <c r="F21" s="32">
        <f t="shared" si="0"/>
        <v>2030</v>
      </c>
      <c r="G21" s="33">
        <f t="shared" si="13"/>
        <v>16</v>
      </c>
      <c r="H21" s="42">
        <f t="shared" si="14"/>
      </c>
      <c r="I21" s="43">
        <f t="shared" si="15"/>
      </c>
      <c r="J21" s="73">
        <f t="shared" si="16"/>
      </c>
      <c r="K21" s="69">
        <f t="shared" si="1"/>
      </c>
      <c r="L21" s="48">
        <f t="shared" si="2"/>
      </c>
      <c r="M21" s="48">
        <f t="shared" si="3"/>
      </c>
      <c r="N21" s="48">
        <f t="shared" si="4"/>
        <v>3431.9642627265303</v>
      </c>
      <c r="O21" s="53">
        <f t="shared" si="5"/>
        <v>2059.178557635918</v>
      </c>
      <c r="P21" s="56">
        <f t="shared" si="6"/>
        <v>4815.800153347622</v>
      </c>
      <c r="Q21" s="59">
        <f t="shared" si="7"/>
        <v>24377.212370436842</v>
      </c>
      <c r="R21" s="62">
        <f t="shared" si="8"/>
        <v>34684.155344146915</v>
      </c>
      <c r="S21" s="63">
        <f t="shared" si="9"/>
        <v>25265.527762658014</v>
      </c>
      <c r="U21">
        <f t="shared" si="10"/>
        <v>2</v>
      </c>
      <c r="V21">
        <f t="shared" si="11"/>
        <v>12</v>
      </c>
      <c r="W21" s="2">
        <f t="shared" si="12"/>
        <v>113000</v>
      </c>
    </row>
    <row r="22" spans="2:23" ht="12.75">
      <c r="B22" s="8" t="s">
        <v>41</v>
      </c>
      <c r="C22" s="11">
        <v>1</v>
      </c>
      <c r="D22" s="10">
        <v>4000</v>
      </c>
      <c r="F22" s="32">
        <f t="shared" si="0"/>
        <v>2031</v>
      </c>
      <c r="G22" s="33">
        <f t="shared" si="13"/>
        <v>17</v>
      </c>
      <c r="H22" s="42">
        <f t="shared" si="14"/>
      </c>
      <c r="I22" s="43">
        <f t="shared" si="15"/>
      </c>
      <c r="J22" s="73">
        <f t="shared" si="16"/>
      </c>
      <c r="K22" s="69">
        <f t="shared" si="1"/>
      </c>
      <c r="L22" s="48">
        <f t="shared" si="2"/>
      </c>
      <c r="M22" s="48">
        <f t="shared" si="3"/>
      </c>
      <c r="N22" s="48">
        <f t="shared" si="4"/>
      </c>
      <c r="O22" s="53">
        <f t="shared" si="5"/>
      </c>
      <c r="P22" s="56">
        <f t="shared" si="6"/>
      </c>
      <c r="Q22" s="59">
        <f t="shared" si="7"/>
        <v>24742.870555993388</v>
      </c>
      <c r="R22" s="62">
        <f t="shared" si="8"/>
        <v>24742.870555993388</v>
      </c>
      <c r="S22" s="63">
        <f t="shared" si="9"/>
        <v>17670.431839006447</v>
      </c>
      <c r="U22">
        <f t="shared" si="10"/>
        <v>2</v>
      </c>
      <c r="V22">
        <f t="shared" si="11"/>
        <v>12</v>
      </c>
      <c r="W22" s="2">
        <f t="shared" si="12"/>
        <v>113000</v>
      </c>
    </row>
    <row r="23" spans="2:23" ht="12.75">
      <c r="B23" s="8" t="s">
        <v>42</v>
      </c>
      <c r="C23" s="11">
        <v>0.75</v>
      </c>
      <c r="D23" s="10"/>
      <c r="F23" s="32">
        <f t="shared" si="0"/>
        <v>2032</v>
      </c>
      <c r="G23" s="33">
        <f t="shared" si="13"/>
        <v>18</v>
      </c>
      <c r="H23" s="42">
        <f t="shared" si="14"/>
      </c>
      <c r="I23" s="43">
        <f t="shared" si="15"/>
      </c>
      <c r="J23" s="73">
        <f t="shared" si="16"/>
      </c>
      <c r="K23" s="69">
        <f t="shared" si="1"/>
      </c>
      <c r="L23" s="48">
        <f t="shared" si="2"/>
      </c>
      <c r="M23" s="48">
        <f t="shared" si="3"/>
      </c>
      <c r="N23" s="48">
        <f t="shared" si="4"/>
      </c>
      <c r="O23" s="53">
        <f t="shared" si="5"/>
      </c>
      <c r="P23" s="56">
        <f t="shared" si="6"/>
      </c>
      <c r="Q23" s="59">
        <f t="shared" si="7"/>
        <v>25114.01361433329</v>
      </c>
      <c r="R23" s="62">
        <f t="shared" si="8"/>
        <v>25114.01361433329</v>
      </c>
      <c r="S23" s="63">
        <f t="shared" si="9"/>
        <v>17583.81207508975</v>
      </c>
      <c r="U23">
        <f t="shared" si="10"/>
        <v>2</v>
      </c>
      <c r="V23">
        <f t="shared" si="11"/>
        <v>12</v>
      </c>
      <c r="W23" s="2">
        <f t="shared" si="12"/>
        <v>113000</v>
      </c>
    </row>
    <row r="24" spans="2:23" ht="12.75">
      <c r="B24" s="8" t="s">
        <v>43</v>
      </c>
      <c r="C24" s="11">
        <v>0.5</v>
      </c>
      <c r="D24" s="10"/>
      <c r="F24" s="32">
        <f t="shared" si="0"/>
        <v>2033</v>
      </c>
      <c r="G24" s="33">
        <f t="shared" si="13"/>
        <v>19</v>
      </c>
      <c r="H24" s="42">
        <f t="shared" si="14"/>
      </c>
      <c r="I24" s="43">
        <f t="shared" si="15"/>
      </c>
      <c r="J24" s="73">
        <f t="shared" si="16"/>
      </c>
      <c r="K24" s="69">
        <f t="shared" si="1"/>
      </c>
      <c r="L24" s="48">
        <f t="shared" si="2"/>
      </c>
      <c r="M24" s="48">
        <f t="shared" si="3"/>
      </c>
      <c r="N24" s="48">
        <f t="shared" si="4"/>
      </c>
      <c r="O24" s="53">
        <f t="shared" si="5"/>
      </c>
      <c r="P24" s="56">
        <f t="shared" si="6"/>
      </c>
      <c r="Q24" s="59">
        <f t="shared" si="7"/>
        <v>25490.723818548286</v>
      </c>
      <c r="R24" s="62">
        <f t="shared" si="8"/>
        <v>25490.723818548286</v>
      </c>
      <c r="S24" s="63">
        <f t="shared" si="9"/>
        <v>17497.616917858915</v>
      </c>
      <c r="U24">
        <f t="shared" si="10"/>
        <v>2</v>
      </c>
      <c r="V24">
        <f t="shared" si="11"/>
        <v>12</v>
      </c>
      <c r="W24" s="2">
        <f t="shared" si="12"/>
        <v>113000</v>
      </c>
    </row>
    <row r="25" spans="2:23" ht="12.75">
      <c r="B25" s="8" t="s">
        <v>44</v>
      </c>
      <c r="C25" s="11">
        <v>0.25</v>
      </c>
      <c r="D25" s="10"/>
      <c r="F25" s="32">
        <f t="shared" si="0"/>
        <v>2034</v>
      </c>
      <c r="G25" s="33">
        <f t="shared" si="13"/>
        <v>20</v>
      </c>
      <c r="H25" s="42">
        <f t="shared" si="14"/>
      </c>
      <c r="I25" s="43">
        <f t="shared" si="15"/>
      </c>
      <c r="J25" s="73">
        <f t="shared" si="16"/>
      </c>
      <c r="K25" s="69">
        <f t="shared" si="1"/>
      </c>
      <c r="L25" s="48">
        <f t="shared" si="2"/>
      </c>
      <c r="M25" s="48">
        <f t="shared" si="3"/>
      </c>
      <c r="N25" s="48">
        <f t="shared" si="4"/>
        <v>3714.868489945886</v>
      </c>
      <c r="O25" s="53">
        <f t="shared" si="5"/>
        <v>2228.9210939675313</v>
      </c>
      <c r="P25" s="56">
        <f t="shared" si="6"/>
        <v>5111.314749857448</v>
      </c>
      <c r="Q25" s="59">
        <f t="shared" si="7"/>
        <v>25873.0846758265</v>
      </c>
      <c r="R25" s="62">
        <f t="shared" si="8"/>
        <v>36928.189009597365</v>
      </c>
      <c r="S25" s="63">
        <f t="shared" si="9"/>
        <v>24851.612587055064</v>
      </c>
      <c r="U25">
        <f t="shared" si="10"/>
        <v>2</v>
      </c>
      <c r="V25">
        <f t="shared" si="11"/>
        <v>12</v>
      </c>
      <c r="W25" s="2">
        <f t="shared" si="12"/>
        <v>113000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3"/>
        <v>21</v>
      </c>
      <c r="H26" s="42">
        <f t="shared" si="14"/>
      </c>
      <c r="I26" s="43">
        <f t="shared" si="15"/>
      </c>
      <c r="J26" s="73">
        <f t="shared" si="16"/>
      </c>
      <c r="K26" s="69">
        <f t="shared" si="1"/>
      </c>
      <c r="L26" s="48">
        <f t="shared" si="2"/>
      </c>
      <c r="M26" s="48">
        <f t="shared" si="3"/>
      </c>
      <c r="N26" s="48">
        <f t="shared" si="4"/>
      </c>
      <c r="O26" s="53">
        <f t="shared" si="5"/>
      </c>
      <c r="P26" s="56">
        <f t="shared" si="6"/>
      </c>
      <c r="Q26" s="59">
        <f t="shared" si="7"/>
        <v>26261.180945963897</v>
      </c>
      <c r="R26" s="62">
        <f t="shared" si="8"/>
        <v>26261.180945963897</v>
      </c>
      <c r="S26" s="63">
        <f t="shared" si="9"/>
        <v>17326.49210803652</v>
      </c>
      <c r="U26">
        <f t="shared" si="10"/>
        <v>2</v>
      </c>
      <c r="V26">
        <f t="shared" si="11"/>
        <v>12</v>
      </c>
      <c r="W26" s="2">
        <f t="shared" si="12"/>
        <v>113000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3"/>
        <v>22</v>
      </c>
      <c r="H27" s="42">
        <f t="shared" si="14"/>
      </c>
      <c r="I27" s="43">
        <f t="shared" si="15"/>
      </c>
      <c r="J27" s="73">
        <f t="shared" si="16"/>
      </c>
      <c r="K27" s="69">
        <f t="shared" si="1"/>
      </c>
      <c r="L27" s="48">
        <f t="shared" si="2"/>
      </c>
      <c r="M27" s="48">
        <f t="shared" si="3"/>
      </c>
      <c r="N27" s="48">
        <f t="shared" si="4"/>
      </c>
      <c r="O27" s="53">
        <f t="shared" si="5"/>
      </c>
      <c r="P27" s="56">
        <f t="shared" si="6"/>
      </c>
      <c r="Q27" s="59">
        <f t="shared" si="7"/>
        <v>26655.09866015335</v>
      </c>
      <c r="R27" s="62">
        <f t="shared" si="8"/>
        <v>26655.09866015335</v>
      </c>
      <c r="S27" s="63">
        <f t="shared" si="9"/>
        <v>17241.5583231932</v>
      </c>
      <c r="U27">
        <f t="shared" si="10"/>
        <v>2</v>
      </c>
      <c r="V27">
        <f t="shared" si="11"/>
        <v>12</v>
      </c>
      <c r="W27" s="2">
        <f t="shared" si="12"/>
        <v>113000</v>
      </c>
    </row>
    <row r="28" spans="6:23" ht="12.75">
      <c r="F28" s="32">
        <f t="shared" si="0"/>
        <v>2037</v>
      </c>
      <c r="G28" s="33">
        <f t="shared" si="13"/>
        <v>23</v>
      </c>
      <c r="H28" s="42">
        <f t="shared" si="14"/>
      </c>
      <c r="I28" s="43">
        <f t="shared" si="15"/>
      </c>
      <c r="J28" s="73">
        <f t="shared" si="16"/>
      </c>
      <c r="K28" s="69">
        <f t="shared" si="1"/>
      </c>
      <c r="L28" s="48">
        <f t="shared" si="2"/>
      </c>
      <c r="M28" s="48">
        <f t="shared" si="3"/>
      </c>
      <c r="N28" s="48">
        <f t="shared" si="4"/>
      </c>
      <c r="O28" s="53">
        <f t="shared" si="5"/>
      </c>
      <c r="P28" s="56">
        <f t="shared" si="6"/>
      </c>
      <c r="Q28" s="59">
        <f t="shared" si="7"/>
        <v>27054.92514005565</v>
      </c>
      <c r="R28" s="62">
        <f t="shared" si="8"/>
        <v>27054.92514005565</v>
      </c>
      <c r="S28" s="63">
        <f t="shared" si="9"/>
        <v>17157.04088043245</v>
      </c>
      <c r="U28">
        <f t="shared" si="10"/>
        <v>2</v>
      </c>
      <c r="V28">
        <f t="shared" si="11"/>
        <v>12</v>
      </c>
      <c r="W28" s="2">
        <f t="shared" si="12"/>
        <v>113000</v>
      </c>
    </row>
    <row r="29" spans="6:23" ht="13.5" thickBot="1">
      <c r="F29" s="34">
        <f t="shared" si="0"/>
        <v>2038</v>
      </c>
      <c r="G29" s="35">
        <f t="shared" si="13"/>
        <v>24</v>
      </c>
      <c r="H29" s="44">
        <f t="shared" si="14"/>
      </c>
      <c r="I29" s="45">
        <f t="shared" si="15"/>
      </c>
      <c r="J29" s="74">
        <f t="shared" si="16"/>
      </c>
      <c r="K29" s="70">
        <f t="shared" si="1"/>
      </c>
      <c r="L29" s="49">
        <f t="shared" si="2"/>
      </c>
      <c r="M29" s="49">
        <f t="shared" si="3"/>
      </c>
      <c r="N29" s="49">
        <f t="shared" si="4"/>
      </c>
      <c r="O29" s="54">
        <f t="shared" si="5"/>
      </c>
      <c r="P29" s="57">
        <f t="shared" si="6"/>
      </c>
      <c r="Q29" s="60">
        <f t="shared" si="7"/>
        <v>27460.749017156482</v>
      </c>
      <c r="R29" s="64">
        <f t="shared" si="8"/>
        <v>27460.749017156482</v>
      </c>
      <c r="S29" s="65">
        <f t="shared" si="9"/>
        <v>17072.9377388617</v>
      </c>
      <c r="U29">
        <f t="shared" si="10"/>
        <v>2</v>
      </c>
      <c r="V29">
        <f t="shared" si="11"/>
        <v>12</v>
      </c>
      <c r="W29" s="2">
        <f t="shared" si="12"/>
        <v>113000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3"/>
        <v>25</v>
      </c>
      <c r="H30" s="36">
        <f>IF(MOD(($D$10-G30),$D$10)=0,$D$7*$D$9*(1+$D$56)^G30,"")</f>
        <v>0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1"/>
        <v>12304.544958485472</v>
      </c>
      <c r="L30" s="36">
        <f t="shared" si="2"/>
      </c>
      <c r="M30" s="36">
        <f t="shared" si="3"/>
      </c>
      <c r="N30" s="36">
        <f t="shared" si="4"/>
      </c>
      <c r="O30" s="36">
        <f t="shared" si="5"/>
      </c>
      <c r="P30" s="36">
        <f t="shared" si="6"/>
        <v>5506.3376188396915</v>
      </c>
      <c r="Q30" s="36">
        <f>$D$7*($C$22*$D$22+$C$23*$D$23+$C$24*$D$24+$C$25*$D$25)*$D$27*(1+$D$57)^G30*$D$21/1000</f>
        <v>27872.660252413825</v>
      </c>
      <c r="R30" s="36">
        <f t="shared" si="8"/>
        <v>45683.54282973899</v>
      </c>
      <c r="S30" s="36">
        <f t="shared" si="9"/>
        <v>27845.52962982674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90" t="s">
        <v>53</v>
      </c>
      <c r="Q32" s="90"/>
      <c r="R32" s="2">
        <f>SUM(R4:R16)</f>
        <v>282135.95178983273</v>
      </c>
      <c r="S32" s="66">
        <f>SUM(S4:S16)</f>
        <v>254070.27949056413</v>
      </c>
      <c r="W32" s="2">
        <f>SUM(W5:W16)</f>
        <v>1356000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90" t="s">
        <v>48</v>
      </c>
      <c r="Q33" s="90"/>
      <c r="R33" s="2">
        <f>SUM(R5:R29)</f>
        <v>647977.8026945996</v>
      </c>
      <c r="S33" s="66">
        <f>SUM(S5:S29)</f>
        <v>511437.66518539353</v>
      </c>
      <c r="W33" s="2">
        <f>SUM(W5:W29)</f>
        <v>2825000</v>
      </c>
    </row>
    <row r="34" spans="2:17" ht="12.75">
      <c r="B34" s="18" t="s">
        <v>12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13</v>
      </c>
      <c r="C35" s="4"/>
      <c r="D35" s="20">
        <v>3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14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15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16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45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20</v>
      </c>
      <c r="C49" s="4"/>
      <c r="D49" s="20">
        <v>90</v>
      </c>
    </row>
    <row r="50" spans="2:4" ht="12.75">
      <c r="B50" s="21" t="s">
        <v>21</v>
      </c>
      <c r="C50" s="22"/>
      <c r="D50" s="23">
        <v>120</v>
      </c>
    </row>
    <row r="53" spans="2:4" ht="12.75">
      <c r="B53" s="15" t="s">
        <v>22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23</v>
      </c>
      <c r="C55" s="4"/>
      <c r="D55" s="25">
        <v>0.02</v>
      </c>
    </row>
    <row r="56" spans="2:4" ht="12.75">
      <c r="B56" s="18" t="s">
        <v>35</v>
      </c>
      <c r="C56" s="4"/>
      <c r="D56" s="25">
        <v>0.015</v>
      </c>
    </row>
    <row r="57" spans="2:4" ht="12.75">
      <c r="B57" s="18" t="s">
        <v>36</v>
      </c>
      <c r="C57" s="4"/>
      <c r="D57" s="25">
        <v>0.015</v>
      </c>
    </row>
    <row r="58" spans="2:4" ht="12.75">
      <c r="B58" s="18" t="s">
        <v>39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51</v>
      </c>
      <c r="C60" s="22"/>
      <c r="D60" s="26">
        <v>0.02</v>
      </c>
    </row>
    <row r="62" ht="13.5" thickBot="1"/>
    <row r="63" spans="2:4" ht="13.5" thickBot="1">
      <c r="B63" s="75" t="s">
        <v>49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63"/>
  <sheetViews>
    <sheetView tabSelected="1" zoomScalePageLayoutView="0" workbookViewId="0" topLeftCell="A10">
      <selection activeCell="J29" sqref="J29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25</v>
      </c>
      <c r="H2" s="87" t="s">
        <v>32</v>
      </c>
      <c r="I2" s="88"/>
      <c r="J2" s="89"/>
      <c r="K2" s="84" t="s">
        <v>38</v>
      </c>
      <c r="L2" s="85"/>
      <c r="M2" s="85"/>
      <c r="N2" s="85"/>
      <c r="O2" s="86"/>
      <c r="P2" s="55" t="s">
        <v>33</v>
      </c>
      <c r="Q2" s="58" t="s">
        <v>34</v>
      </c>
      <c r="R2" s="61" t="s">
        <v>46</v>
      </c>
      <c r="S2" s="31" t="s">
        <v>47</v>
      </c>
    </row>
    <row r="3" spans="2:23" ht="39" thickBot="1">
      <c r="B3" s="78" t="s">
        <v>52</v>
      </c>
      <c r="F3" s="34"/>
      <c r="G3" s="35"/>
      <c r="H3" s="50" t="s">
        <v>0</v>
      </c>
      <c r="I3" s="39" t="s">
        <v>26</v>
      </c>
      <c r="J3" s="71" t="s">
        <v>28</v>
      </c>
      <c r="K3" s="67" t="s">
        <v>37</v>
      </c>
      <c r="L3" s="46" t="s">
        <v>29</v>
      </c>
      <c r="M3" s="46" t="s">
        <v>30</v>
      </c>
      <c r="N3" s="46" t="s">
        <v>31</v>
      </c>
      <c r="O3" s="51" t="s">
        <v>27</v>
      </c>
      <c r="P3" s="82"/>
      <c r="Q3" s="83"/>
      <c r="R3" s="34"/>
      <c r="S3" s="35"/>
      <c r="W3" s="79" t="s">
        <v>50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 aca="true" t="shared" si="1" ref="H5:H29">IF($D$9=0,"",IF(MOD(($D$10-G5),$D$10)=0,$D$7*$D$9*(1+$D$56)^G5,""))</f>
        <v>13750</v>
      </c>
      <c r="I5" s="43">
        <f>IF(H5&lt;&gt;0,IF(H6="",IF(H5="",IF(MOD(($D$13-G5),$D$13)=0,$D$7*$D$12*(1+$D$56)^G5,""),""),""),"")</f>
      </c>
      <c r="J5" s="73">
        <f>IF($D$15&lt;&gt;0,IF(G5&lt;&gt;0,IF(H6="",IF(H5="",IF(MOD(($D$16-G5),$D$16)=0,$D$7*$D$15*(1+$D$56)^G5,""),""),""),""),"")</f>
      </c>
      <c r="K5" s="69">
        <f aca="true" t="shared" si="2" ref="K5:K30">IF(H5&lt;&gt;"",$D$7*$D$50*$D$34/60*(1+$D$55)^G5,"")</f>
        <v>7500</v>
      </c>
      <c r="L5" s="48">
        <f aca="true" t="shared" si="3" ref="L5:L30">IF(I5&lt;&gt;"",$D$7*$D$50*$D$35/60*(1+$D$55)^G5,"")</f>
      </c>
      <c r="M5" s="48">
        <f aca="true" t="shared" si="4" ref="M5:M30">IF(J5&lt;&gt;"",$D$7*$D$50*$D$36/60*(1+$D$55)^G5,"")</f>
      </c>
      <c r="N5" s="48">
        <f aca="true" t="shared" si="5" ref="N5:N30">IF(H6="",IF(H5="",IF(MOD(($D$43-G5),$D$43)=0,$D$7*$D$37/60*$D$50*(1+$D$55)^G5,""),""),"")</f>
      </c>
      <c r="O5" s="53">
        <f aca="true" t="shared" si="6" ref="O5:O30">IF(H6="",IF(H5="",IF(MOD(($D$44-G5),$D$44)=0,$D$7*$D$38/60*$D$50*(1+$D$55)^G5,""),""),"")</f>
      </c>
      <c r="P5" s="56">
        <f aca="true" t="shared" si="7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3795</v>
      </c>
      <c r="Q5" s="59">
        <f aca="true" t="shared" si="8" ref="Q5:Q29">IF(U5&gt;0,$D$7*($C$22*$D$22+$C$23*$D$23+$C$24*$D$24+$C$25*$D$25)*$D$27*(1+$D$57)^G5*$D$21/1000/((1+$D$63)^V5),$D$7*($C$22*$D$22+$C$23*$D$23+$C$24*$D$24+$C$25*$D$25)*$D$27*(1+$D$57)^G5*$D$21/1000)</f>
        <v>12966.750000000002</v>
      </c>
      <c r="R5" s="62">
        <f aca="true" t="shared" si="9" ref="R5:R30">SUM(H5:Q5)</f>
        <v>38011.75</v>
      </c>
      <c r="S5" s="63">
        <f aca="true" t="shared" si="10" ref="S5:S30">R5/(1+$D$60)^G5</f>
        <v>38011.75</v>
      </c>
      <c r="U5">
        <f aca="true" t="shared" si="11" ref="U5:U29">IF(L5="",U4,U4+1)</f>
        <v>0</v>
      </c>
      <c r="V5">
        <f aca="true" t="shared" si="12" ref="V5:V29">IF(L5="",V4,G4+1)</f>
        <v>0</v>
      </c>
      <c r="W5" s="2">
        <f aca="true" t="shared" si="13" ref="W5:W29">IF(U5&gt;0,$D$7*($C$22*$D$22+$C$23*$D$23+$C$24*$D$24+$C$25*$D$25)*$D$21/1000/((1+$D$63)^V5),$D$7*($C$22*$D$22+$C$23*$D$23+$C$24*$D$24+$C$25*$D$25)*$D$21/1000)</f>
        <v>76275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4" ref="G6:G30">G5+1</f>
        <v>1</v>
      </c>
      <c r="H6" s="42">
        <f t="shared" si="1"/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2"/>
      </c>
      <c r="L6" s="48">
        <f t="shared" si="3"/>
      </c>
      <c r="M6" s="48">
        <f t="shared" si="4"/>
      </c>
      <c r="N6" s="48">
        <f t="shared" si="5"/>
      </c>
      <c r="O6" s="53">
        <f t="shared" si="6"/>
      </c>
      <c r="P6" s="56">
        <f t="shared" si="7"/>
      </c>
      <c r="Q6" s="59">
        <f t="shared" si="8"/>
        <v>13161.25125</v>
      </c>
      <c r="R6" s="62">
        <f t="shared" si="9"/>
        <v>13161.25125</v>
      </c>
      <c r="S6" s="63">
        <f t="shared" si="10"/>
        <v>12903.1875</v>
      </c>
      <c r="U6">
        <f t="shared" si="11"/>
        <v>0</v>
      </c>
      <c r="V6">
        <f t="shared" si="12"/>
        <v>0</v>
      </c>
      <c r="W6" s="2">
        <f t="shared" si="13"/>
        <v>76275</v>
      </c>
    </row>
    <row r="7" spans="2:23" ht="12.75">
      <c r="B7" s="28" t="s">
        <v>24</v>
      </c>
      <c r="C7" s="4"/>
      <c r="D7" s="19">
        <v>250</v>
      </c>
      <c r="F7" s="32">
        <f t="shared" si="0"/>
        <v>2016</v>
      </c>
      <c r="G7" s="33">
        <f t="shared" si="14"/>
        <v>2</v>
      </c>
      <c r="H7" s="42">
        <f t="shared" si="1"/>
      </c>
      <c r="I7" s="43">
        <f t="shared" si="15"/>
      </c>
      <c r="J7" s="73">
        <f t="shared" si="16"/>
      </c>
      <c r="K7" s="69">
        <f t="shared" si="2"/>
      </c>
      <c r="L7" s="48">
        <f t="shared" si="3"/>
      </c>
      <c r="M7" s="48">
        <f t="shared" si="4"/>
      </c>
      <c r="N7" s="48">
        <f t="shared" si="5"/>
      </c>
      <c r="O7" s="53">
        <f t="shared" si="6"/>
      </c>
      <c r="P7" s="56">
        <f t="shared" si="7"/>
      </c>
      <c r="Q7" s="59">
        <f t="shared" si="8"/>
        <v>13358.670018749997</v>
      </c>
      <c r="R7" s="62">
        <f t="shared" si="9"/>
        <v>13358.670018749997</v>
      </c>
      <c r="S7" s="63">
        <f t="shared" si="10"/>
        <v>12839.936580882351</v>
      </c>
      <c r="U7">
        <f t="shared" si="11"/>
        <v>0</v>
      </c>
      <c r="V7">
        <f t="shared" si="12"/>
        <v>0</v>
      </c>
      <c r="W7" s="2">
        <f t="shared" si="13"/>
        <v>76275</v>
      </c>
    </row>
    <row r="8" spans="2:23" ht="12.75">
      <c r="B8" s="18"/>
      <c r="C8" s="4"/>
      <c r="D8" s="19"/>
      <c r="F8" s="32">
        <f t="shared" si="0"/>
        <v>2017</v>
      </c>
      <c r="G8" s="33">
        <f t="shared" si="14"/>
        <v>3</v>
      </c>
      <c r="H8" s="42">
        <f t="shared" si="1"/>
      </c>
      <c r="I8" s="43">
        <f t="shared" si="15"/>
      </c>
      <c r="J8" s="73">
        <f t="shared" si="16"/>
      </c>
      <c r="K8" s="69">
        <f t="shared" si="2"/>
      </c>
      <c r="L8" s="48">
        <f t="shared" si="3"/>
      </c>
      <c r="M8" s="48">
        <f t="shared" si="4"/>
      </c>
      <c r="N8" s="48">
        <f t="shared" si="5"/>
      </c>
      <c r="O8" s="53">
        <f t="shared" si="6"/>
      </c>
      <c r="P8" s="56">
        <f t="shared" si="7"/>
      </c>
      <c r="Q8" s="59">
        <f t="shared" si="8"/>
        <v>13559.050069031246</v>
      </c>
      <c r="R8" s="62">
        <f t="shared" si="9"/>
        <v>13559.050069031246</v>
      </c>
      <c r="S8" s="63">
        <f t="shared" si="10"/>
        <v>12776.99571528979</v>
      </c>
      <c r="U8">
        <f t="shared" si="11"/>
        <v>0</v>
      </c>
      <c r="V8">
        <f t="shared" si="12"/>
        <v>0</v>
      </c>
      <c r="W8" s="2">
        <f t="shared" si="13"/>
        <v>76275</v>
      </c>
    </row>
    <row r="9" spans="2:23" ht="12.75">
      <c r="B9" s="18" t="s">
        <v>54</v>
      </c>
      <c r="C9" s="4"/>
      <c r="D9" s="19">
        <v>55</v>
      </c>
      <c r="F9" s="32">
        <f t="shared" si="0"/>
        <v>2018</v>
      </c>
      <c r="G9" s="33">
        <f t="shared" si="14"/>
        <v>4</v>
      </c>
      <c r="H9" s="42">
        <f t="shared" si="1"/>
      </c>
      <c r="I9" s="43">
        <f t="shared" si="15"/>
      </c>
      <c r="J9" s="73">
        <f t="shared" si="16"/>
      </c>
      <c r="K9" s="69">
        <f t="shared" si="2"/>
      </c>
      <c r="L9" s="48">
        <f t="shared" si="3"/>
      </c>
      <c r="M9" s="48">
        <f t="shared" si="4"/>
      </c>
      <c r="N9" s="48">
        <f t="shared" si="5"/>
        <v>2706.0804</v>
      </c>
      <c r="O9" s="53">
        <f t="shared" si="6"/>
        <v>1623.64824</v>
      </c>
      <c r="P9" s="56">
        <f t="shared" si="7"/>
        <v>4027.874674621873</v>
      </c>
      <c r="Q9" s="59">
        <f t="shared" si="8"/>
        <v>13762.435820066714</v>
      </c>
      <c r="R9" s="62">
        <f t="shared" si="9"/>
        <v>22120.039134688588</v>
      </c>
      <c r="S9" s="63">
        <f t="shared" si="10"/>
        <v>20435.496978109546</v>
      </c>
      <c r="U9">
        <f t="shared" si="11"/>
        <v>0</v>
      </c>
      <c r="V9">
        <f t="shared" si="12"/>
        <v>0</v>
      </c>
      <c r="W9" s="2">
        <f t="shared" si="13"/>
        <v>76275</v>
      </c>
    </row>
    <row r="10" spans="2:23" ht="12.75">
      <c r="B10" s="18" t="s">
        <v>17</v>
      </c>
      <c r="C10" s="4"/>
      <c r="D10" s="19">
        <v>25</v>
      </c>
      <c r="F10" s="32">
        <f t="shared" si="0"/>
        <v>2019</v>
      </c>
      <c r="G10" s="33">
        <f t="shared" si="14"/>
        <v>5</v>
      </c>
      <c r="H10" s="42">
        <f t="shared" si="1"/>
      </c>
      <c r="I10" s="43">
        <f t="shared" si="15"/>
      </c>
      <c r="J10" s="73">
        <f t="shared" si="16"/>
      </c>
      <c r="K10" s="69">
        <f t="shared" si="2"/>
      </c>
      <c r="L10" s="48">
        <f t="shared" si="3"/>
      </c>
      <c r="M10" s="48">
        <f t="shared" si="4"/>
      </c>
      <c r="N10" s="48">
        <f t="shared" si="5"/>
      </c>
      <c r="O10" s="53">
        <f t="shared" si="6"/>
      </c>
      <c r="P10" s="56">
        <f t="shared" si="7"/>
      </c>
      <c r="Q10" s="59">
        <f t="shared" si="8"/>
        <v>13968.872357367713</v>
      </c>
      <c r="R10" s="62">
        <f t="shared" si="9"/>
        <v>13968.872357367713</v>
      </c>
      <c r="S10" s="63">
        <f t="shared" si="10"/>
        <v>12652.038072649384</v>
      </c>
      <c r="U10">
        <f t="shared" si="11"/>
        <v>0</v>
      </c>
      <c r="V10">
        <f t="shared" si="12"/>
        <v>0</v>
      </c>
      <c r="W10" s="2">
        <f t="shared" si="13"/>
        <v>76275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4"/>
        <v>6</v>
      </c>
      <c r="H11" s="42">
        <f t="shared" si="1"/>
      </c>
      <c r="I11" s="43">
        <f t="shared" si="15"/>
      </c>
      <c r="J11" s="73">
        <f t="shared" si="16"/>
      </c>
      <c r="K11" s="69">
        <f t="shared" si="2"/>
      </c>
      <c r="L11" s="48">
        <f t="shared" si="3"/>
      </c>
      <c r="M11" s="48">
        <f t="shared" si="4"/>
      </c>
      <c r="N11" s="48">
        <f t="shared" si="5"/>
      </c>
      <c r="O11" s="53">
        <f t="shared" si="6"/>
      </c>
      <c r="P11" s="56">
        <f t="shared" si="7"/>
      </c>
      <c r="Q11" s="59">
        <f t="shared" si="8"/>
        <v>14178.405442728224</v>
      </c>
      <c r="R11" s="62">
        <f t="shared" si="9"/>
        <v>14178.405442728224</v>
      </c>
      <c r="S11" s="63">
        <f t="shared" si="10"/>
        <v>12590.018278175608</v>
      </c>
      <c r="U11">
        <f t="shared" si="11"/>
        <v>0</v>
      </c>
      <c r="V11">
        <f t="shared" si="12"/>
        <v>0</v>
      </c>
      <c r="W11" s="2">
        <f t="shared" si="13"/>
        <v>76275</v>
      </c>
    </row>
    <row r="12" spans="2:23" ht="12.75">
      <c r="B12" s="18" t="s">
        <v>1</v>
      </c>
      <c r="C12" s="4"/>
      <c r="D12" s="19">
        <v>20</v>
      </c>
      <c r="F12" s="32">
        <f t="shared" si="0"/>
        <v>2021</v>
      </c>
      <c r="G12" s="33">
        <f t="shared" si="14"/>
        <v>7</v>
      </c>
      <c r="H12" s="42">
        <f t="shared" si="1"/>
      </c>
      <c r="I12" s="43">
        <f t="shared" si="15"/>
      </c>
      <c r="J12" s="73">
        <f t="shared" si="16"/>
      </c>
      <c r="K12" s="69">
        <f t="shared" si="2"/>
      </c>
      <c r="L12" s="48">
        <f t="shared" si="3"/>
      </c>
      <c r="M12" s="48">
        <f t="shared" si="4"/>
      </c>
      <c r="N12" s="48">
        <f t="shared" si="5"/>
      </c>
      <c r="O12" s="53">
        <f t="shared" si="6"/>
      </c>
      <c r="P12" s="56">
        <f t="shared" si="7"/>
      </c>
      <c r="Q12" s="59">
        <f t="shared" si="8"/>
        <v>14391.081524369147</v>
      </c>
      <c r="R12" s="62">
        <f t="shared" si="9"/>
        <v>14391.081524369147</v>
      </c>
      <c r="S12" s="63">
        <f t="shared" si="10"/>
        <v>12528.302502302202</v>
      </c>
      <c r="U12">
        <f t="shared" si="11"/>
        <v>0</v>
      </c>
      <c r="V12">
        <f t="shared" si="12"/>
        <v>0</v>
      </c>
      <c r="W12" s="2">
        <f t="shared" si="13"/>
        <v>76275</v>
      </c>
    </row>
    <row r="13" spans="2:23" ht="12.75">
      <c r="B13" s="18" t="s">
        <v>18</v>
      </c>
      <c r="C13" s="4"/>
      <c r="D13" s="19">
        <v>12</v>
      </c>
      <c r="F13" s="32">
        <f t="shared" si="0"/>
        <v>2022</v>
      </c>
      <c r="G13" s="33">
        <f t="shared" si="14"/>
        <v>8</v>
      </c>
      <c r="H13" s="42">
        <f t="shared" si="1"/>
      </c>
      <c r="I13" s="43">
        <f t="shared" si="15"/>
      </c>
      <c r="J13" s="73">
        <f t="shared" si="16"/>
      </c>
      <c r="K13" s="69">
        <f t="shared" si="2"/>
      </c>
      <c r="L13" s="48">
        <f t="shared" si="3"/>
      </c>
      <c r="M13" s="48">
        <f t="shared" si="4"/>
      </c>
      <c r="N13" s="48">
        <f t="shared" si="5"/>
        <v>2929.148452505664</v>
      </c>
      <c r="O13" s="53">
        <f t="shared" si="6"/>
        <v>1757.4890715033982</v>
      </c>
      <c r="P13" s="56">
        <f t="shared" si="7"/>
        <v>4275.0393661291855</v>
      </c>
      <c r="Q13" s="59">
        <f t="shared" si="8"/>
        <v>14606.94774723468</v>
      </c>
      <c r="R13" s="62">
        <f t="shared" si="9"/>
        <v>23568.62463737293</v>
      </c>
      <c r="S13" s="63">
        <f t="shared" si="10"/>
        <v>20115.59419019183</v>
      </c>
      <c r="U13">
        <f t="shared" si="11"/>
        <v>0</v>
      </c>
      <c r="V13">
        <f t="shared" si="12"/>
        <v>0</v>
      </c>
      <c r="W13" s="2">
        <f t="shared" si="13"/>
        <v>76275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4"/>
        <v>9</v>
      </c>
      <c r="H14" s="42">
        <f t="shared" si="1"/>
      </c>
      <c r="I14" s="43">
        <f t="shared" si="15"/>
      </c>
      <c r="J14" s="73">
        <f t="shared" si="16"/>
      </c>
      <c r="K14" s="69">
        <f t="shared" si="2"/>
      </c>
      <c r="L14" s="48">
        <f t="shared" si="3"/>
      </c>
      <c r="M14" s="48">
        <f t="shared" si="4"/>
      </c>
      <c r="N14" s="48">
        <f t="shared" si="5"/>
      </c>
      <c r="O14" s="53">
        <f t="shared" si="6"/>
      </c>
      <c r="P14" s="56">
        <f t="shared" si="7"/>
      </c>
      <c r="Q14" s="59">
        <f t="shared" si="8"/>
        <v>14826.051963443198</v>
      </c>
      <c r="R14" s="62">
        <f t="shared" si="9"/>
        <v>14826.051963443198</v>
      </c>
      <c r="S14" s="63">
        <f t="shared" si="10"/>
        <v>12405.777052512763</v>
      </c>
      <c r="U14">
        <f t="shared" si="11"/>
        <v>0</v>
      </c>
      <c r="V14">
        <f t="shared" si="12"/>
        <v>0</v>
      </c>
      <c r="W14" s="2">
        <f t="shared" si="13"/>
        <v>76275</v>
      </c>
    </row>
    <row r="15" spans="2:23" ht="12.75">
      <c r="B15" s="18" t="s">
        <v>2</v>
      </c>
      <c r="C15" s="4"/>
      <c r="D15" s="19">
        <v>20</v>
      </c>
      <c r="F15" s="32">
        <f t="shared" si="0"/>
        <v>2024</v>
      </c>
      <c r="G15" s="33">
        <f t="shared" si="14"/>
        <v>10</v>
      </c>
      <c r="H15" s="42">
        <f t="shared" si="1"/>
      </c>
      <c r="I15" s="43">
        <f t="shared" si="15"/>
      </c>
      <c r="J15" s="73">
        <f t="shared" si="16"/>
      </c>
      <c r="K15" s="69">
        <f t="shared" si="2"/>
      </c>
      <c r="L15" s="48">
        <f t="shared" si="3"/>
      </c>
      <c r="M15" s="48">
        <f t="shared" si="4"/>
      </c>
      <c r="N15" s="48">
        <f t="shared" si="5"/>
      </c>
      <c r="O15" s="53">
        <f t="shared" si="6"/>
      </c>
      <c r="P15" s="56">
        <f t="shared" si="7"/>
      </c>
      <c r="Q15" s="59">
        <f t="shared" si="8"/>
        <v>15048.44274289485</v>
      </c>
      <c r="R15" s="62">
        <f t="shared" si="9"/>
        <v>15048.44274289485</v>
      </c>
      <c r="S15" s="63">
        <f t="shared" si="10"/>
        <v>12344.964419902408</v>
      </c>
      <c r="U15">
        <f t="shared" si="11"/>
        <v>0</v>
      </c>
      <c r="V15">
        <f t="shared" si="12"/>
        <v>0</v>
      </c>
      <c r="W15" s="2">
        <f t="shared" si="13"/>
        <v>76275</v>
      </c>
    </row>
    <row r="16" spans="2:23" ht="12.75">
      <c r="B16" s="21" t="s">
        <v>19</v>
      </c>
      <c r="C16" s="22"/>
      <c r="D16" s="29">
        <v>25</v>
      </c>
      <c r="F16" s="32">
        <f t="shared" si="0"/>
        <v>2025</v>
      </c>
      <c r="G16" s="33">
        <f t="shared" si="14"/>
        <v>11</v>
      </c>
      <c r="H16" s="42">
        <f t="shared" si="1"/>
      </c>
      <c r="I16" s="43">
        <f t="shared" si="15"/>
      </c>
      <c r="J16" s="73">
        <f t="shared" si="16"/>
      </c>
      <c r="K16" s="69">
        <f t="shared" si="2"/>
      </c>
      <c r="L16" s="48">
        <f t="shared" si="3"/>
      </c>
      <c r="M16" s="48">
        <f t="shared" si="4"/>
      </c>
      <c r="N16" s="48">
        <f t="shared" si="5"/>
      </c>
      <c r="O16" s="53">
        <f t="shared" si="6"/>
      </c>
      <c r="P16" s="56">
        <f t="shared" si="7"/>
      </c>
      <c r="Q16" s="59">
        <f t="shared" si="8"/>
        <v>15274.169384038265</v>
      </c>
      <c r="R16" s="62">
        <f t="shared" si="9"/>
        <v>15274.169384038265</v>
      </c>
      <c r="S16" s="63">
        <f t="shared" si="10"/>
        <v>12284.449888432295</v>
      </c>
      <c r="U16">
        <f t="shared" si="11"/>
        <v>0</v>
      </c>
      <c r="V16">
        <f t="shared" si="12"/>
        <v>0</v>
      </c>
      <c r="W16" s="2">
        <f t="shared" si="13"/>
        <v>76275</v>
      </c>
    </row>
    <row r="17" spans="6:23" ht="12.75">
      <c r="F17" s="32">
        <f t="shared" si="0"/>
        <v>2026</v>
      </c>
      <c r="G17" s="33">
        <f t="shared" si="14"/>
        <v>12</v>
      </c>
      <c r="H17" s="42">
        <f t="shared" si="1"/>
      </c>
      <c r="I17" s="43">
        <f t="shared" si="15"/>
        <v>5978.090857307667</v>
      </c>
      <c r="J17" s="73">
        <f t="shared" si="16"/>
      </c>
      <c r="K17" s="69">
        <f t="shared" si="2"/>
      </c>
      <c r="L17" s="48">
        <f t="shared" si="3"/>
        <v>1902.3626918438179</v>
      </c>
      <c r="M17" s="48">
        <f t="shared" si="4"/>
      </c>
      <c r="N17" s="48">
        <f t="shared" si="5"/>
        <v>3170.6044864063633</v>
      </c>
      <c r="O17" s="53">
        <f t="shared" si="6"/>
        <v>1902.3626918438179</v>
      </c>
      <c r="P17" s="56">
        <f t="shared" si="7"/>
        <v>4537.3709606965185</v>
      </c>
      <c r="Q17" s="59">
        <f t="shared" si="8"/>
        <v>15503.28192479884</v>
      </c>
      <c r="R17" s="62">
        <f t="shared" si="9"/>
        <v>32994.073612897024</v>
      </c>
      <c r="S17" s="63">
        <f t="shared" si="10"/>
        <v>26015.60187840811</v>
      </c>
      <c r="U17">
        <f t="shared" si="11"/>
        <v>1</v>
      </c>
      <c r="V17">
        <f t="shared" si="12"/>
        <v>12</v>
      </c>
      <c r="W17" s="2">
        <f t="shared" si="13"/>
        <v>76275</v>
      </c>
    </row>
    <row r="18" spans="6:23" ht="12.75">
      <c r="F18" s="32">
        <f t="shared" si="0"/>
        <v>2027</v>
      </c>
      <c r="G18" s="33">
        <f t="shared" si="14"/>
        <v>13</v>
      </c>
      <c r="H18" s="42">
        <f t="shared" si="1"/>
      </c>
      <c r="I18" s="43">
        <f t="shared" si="15"/>
      </c>
      <c r="J18" s="73">
        <f t="shared" si="16"/>
      </c>
      <c r="K18" s="69">
        <f t="shared" si="2"/>
      </c>
      <c r="L18" s="48">
        <f t="shared" si="3"/>
      </c>
      <c r="M18" s="48">
        <f t="shared" si="4"/>
      </c>
      <c r="N18" s="48">
        <f t="shared" si="5"/>
      </c>
      <c r="O18" s="53">
        <f t="shared" si="6"/>
      </c>
      <c r="P18" s="56">
        <f t="shared" si="7"/>
      </c>
      <c r="Q18" s="59">
        <f t="shared" si="8"/>
        <v>15735.831153670819</v>
      </c>
      <c r="R18" s="62">
        <f t="shared" si="9"/>
        <v>15735.831153670819</v>
      </c>
      <c r="S18" s="63">
        <f t="shared" si="10"/>
        <v>12164.309290955553</v>
      </c>
      <c r="U18">
        <f t="shared" si="11"/>
        <v>1</v>
      </c>
      <c r="V18">
        <f t="shared" si="12"/>
        <v>12</v>
      </c>
      <c r="W18" s="2">
        <f t="shared" si="13"/>
        <v>76275</v>
      </c>
    </row>
    <row r="19" spans="2:23" ht="12.75">
      <c r="B19" s="5" t="s">
        <v>40</v>
      </c>
      <c r="C19" s="6"/>
      <c r="D19" s="7"/>
      <c r="F19" s="32">
        <f t="shared" si="0"/>
        <v>2028</v>
      </c>
      <c r="G19" s="33">
        <f t="shared" si="14"/>
        <v>14</v>
      </c>
      <c r="H19" s="42">
        <f t="shared" si="1"/>
      </c>
      <c r="I19" s="43">
        <f t="shared" si="15"/>
      </c>
      <c r="J19" s="73">
        <f t="shared" si="16"/>
      </c>
      <c r="K19" s="69">
        <f t="shared" si="2"/>
      </c>
      <c r="L19" s="48">
        <f t="shared" si="3"/>
      </c>
      <c r="M19" s="48">
        <f t="shared" si="4"/>
      </c>
      <c r="N19" s="48">
        <f t="shared" si="5"/>
      </c>
      <c r="O19" s="53">
        <f t="shared" si="6"/>
      </c>
      <c r="P19" s="56">
        <f t="shared" si="7"/>
      </c>
      <c r="Q19" s="59">
        <f t="shared" si="8"/>
        <v>15971.86862097588</v>
      </c>
      <c r="R19" s="62">
        <f t="shared" si="9"/>
        <v>15971.86862097588</v>
      </c>
      <c r="S19" s="63">
        <f t="shared" si="10"/>
        <v>12104.680323843024</v>
      </c>
      <c r="U19">
        <f t="shared" si="11"/>
        <v>1</v>
      </c>
      <c r="V19">
        <f t="shared" si="12"/>
        <v>12</v>
      </c>
      <c r="W19" s="2">
        <f t="shared" si="13"/>
        <v>76275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4"/>
        <v>15</v>
      </c>
      <c r="H20" s="42">
        <f t="shared" si="1"/>
      </c>
      <c r="I20" s="43">
        <f t="shared" si="15"/>
      </c>
      <c r="J20" s="73">
        <f t="shared" si="16"/>
      </c>
      <c r="K20" s="69">
        <f t="shared" si="2"/>
      </c>
      <c r="L20" s="48">
        <f t="shared" si="3"/>
      </c>
      <c r="M20" s="48">
        <f t="shared" si="4"/>
      </c>
      <c r="N20" s="48">
        <f t="shared" si="5"/>
      </c>
      <c r="O20" s="53">
        <f t="shared" si="6"/>
      </c>
      <c r="P20" s="56">
        <f t="shared" si="7"/>
      </c>
      <c r="Q20" s="59">
        <f t="shared" si="8"/>
        <v>16211.446650290516</v>
      </c>
      <c r="R20" s="62">
        <f t="shared" si="9"/>
        <v>16211.446650290516</v>
      </c>
      <c r="S20" s="63">
        <f t="shared" si="10"/>
        <v>12045.343655588893</v>
      </c>
      <c r="U20">
        <f t="shared" si="11"/>
        <v>1</v>
      </c>
      <c r="V20">
        <f t="shared" si="12"/>
        <v>12</v>
      </c>
      <c r="W20" s="2">
        <f t="shared" si="13"/>
        <v>76275</v>
      </c>
    </row>
    <row r="21" spans="2:23" ht="12.75">
      <c r="B21" s="8" t="s">
        <v>4</v>
      </c>
      <c r="C21" s="9"/>
      <c r="D21" s="10">
        <v>113</v>
      </c>
      <c r="F21" s="32">
        <f t="shared" si="0"/>
        <v>2030</v>
      </c>
      <c r="G21" s="33">
        <f t="shared" si="14"/>
        <v>16</v>
      </c>
      <c r="H21" s="42">
        <f t="shared" si="1"/>
      </c>
      <c r="I21" s="43">
        <f t="shared" si="15"/>
      </c>
      <c r="J21" s="73">
        <f t="shared" si="16"/>
      </c>
      <c r="K21" s="69">
        <f t="shared" si="2"/>
      </c>
      <c r="L21" s="48">
        <f t="shared" si="3"/>
      </c>
      <c r="M21" s="48">
        <f t="shared" si="4"/>
      </c>
      <c r="N21" s="48">
        <f t="shared" si="5"/>
        <v>3431.9642627265303</v>
      </c>
      <c r="O21" s="53">
        <f t="shared" si="6"/>
        <v>2059.178557635918</v>
      </c>
      <c r="P21" s="56">
        <f t="shared" si="7"/>
        <v>4815.800153347622</v>
      </c>
      <c r="Q21" s="59">
        <f t="shared" si="8"/>
        <v>16454.618350044868</v>
      </c>
      <c r="R21" s="62">
        <f t="shared" si="9"/>
        <v>26761.561323754937</v>
      </c>
      <c r="S21" s="63">
        <f t="shared" si="10"/>
        <v>19494.34731474605</v>
      </c>
      <c r="U21">
        <f t="shared" si="11"/>
        <v>1</v>
      </c>
      <c r="V21">
        <f t="shared" si="12"/>
        <v>12</v>
      </c>
      <c r="W21" s="2">
        <f t="shared" si="13"/>
        <v>76275</v>
      </c>
    </row>
    <row r="22" spans="2:23" ht="12.75">
      <c r="B22" s="8" t="s">
        <v>41</v>
      </c>
      <c r="C22" s="11">
        <v>1</v>
      </c>
      <c r="D22" s="10">
        <v>1400</v>
      </c>
      <c r="F22" s="32">
        <f t="shared" si="0"/>
        <v>2031</v>
      </c>
      <c r="G22" s="33">
        <f t="shared" si="14"/>
        <v>17</v>
      </c>
      <c r="H22" s="42">
        <f t="shared" si="1"/>
      </c>
      <c r="I22" s="43">
        <f t="shared" si="15"/>
      </c>
      <c r="J22" s="73">
        <f t="shared" si="16"/>
      </c>
      <c r="K22" s="69">
        <f t="shared" si="2"/>
      </c>
      <c r="L22" s="48">
        <f t="shared" si="3"/>
      </c>
      <c r="M22" s="48">
        <f t="shared" si="4"/>
      </c>
      <c r="N22" s="48">
        <f t="shared" si="5"/>
      </c>
      <c r="O22" s="53">
        <f t="shared" si="6"/>
      </c>
      <c r="P22" s="56">
        <f t="shared" si="7"/>
      </c>
      <c r="Q22" s="59">
        <f t="shared" si="8"/>
        <v>16701.43762529554</v>
      </c>
      <c r="R22" s="62">
        <f t="shared" si="9"/>
        <v>16701.43762529554</v>
      </c>
      <c r="S22" s="63">
        <f t="shared" si="10"/>
        <v>11927.541491329353</v>
      </c>
      <c r="U22">
        <f t="shared" si="11"/>
        <v>1</v>
      </c>
      <c r="V22">
        <f t="shared" si="12"/>
        <v>12</v>
      </c>
      <c r="W22" s="2">
        <f t="shared" si="13"/>
        <v>76275</v>
      </c>
    </row>
    <row r="23" spans="2:23" ht="12.75">
      <c r="B23" s="8" t="s">
        <v>42</v>
      </c>
      <c r="C23" s="11">
        <v>0.75</v>
      </c>
      <c r="D23" s="10"/>
      <c r="F23" s="32">
        <f t="shared" si="0"/>
        <v>2032</v>
      </c>
      <c r="G23" s="33">
        <f t="shared" si="14"/>
        <v>18</v>
      </c>
      <c r="H23" s="42">
        <f t="shared" si="1"/>
      </c>
      <c r="I23" s="43">
        <f t="shared" si="15"/>
      </c>
      <c r="J23" s="73">
        <f t="shared" si="16"/>
      </c>
      <c r="K23" s="69">
        <f t="shared" si="2"/>
      </c>
      <c r="L23" s="48">
        <f t="shared" si="3"/>
      </c>
      <c r="M23" s="48">
        <f t="shared" si="4"/>
      </c>
      <c r="N23" s="48">
        <f t="shared" si="5"/>
      </c>
      <c r="O23" s="53">
        <f t="shared" si="6"/>
      </c>
      <c r="P23" s="56">
        <f t="shared" si="7"/>
      </c>
      <c r="Q23" s="59">
        <f t="shared" si="8"/>
        <v>16951.959189674973</v>
      </c>
      <c r="R23" s="62">
        <f t="shared" si="9"/>
        <v>16951.959189674973</v>
      </c>
      <c r="S23" s="63">
        <f t="shared" si="10"/>
        <v>11869.073150685585</v>
      </c>
      <c r="U23">
        <f t="shared" si="11"/>
        <v>1</v>
      </c>
      <c r="V23">
        <f t="shared" si="12"/>
        <v>12</v>
      </c>
      <c r="W23" s="2">
        <f t="shared" si="13"/>
        <v>76275</v>
      </c>
    </row>
    <row r="24" spans="2:23" ht="12.75">
      <c r="B24" s="8" t="s">
        <v>43</v>
      </c>
      <c r="C24" s="11">
        <v>0.5</v>
      </c>
      <c r="D24" s="10">
        <v>2600</v>
      </c>
      <c r="F24" s="32">
        <f t="shared" si="0"/>
        <v>2033</v>
      </c>
      <c r="G24" s="33">
        <f t="shared" si="14"/>
        <v>19</v>
      </c>
      <c r="H24" s="42">
        <f t="shared" si="1"/>
      </c>
      <c r="I24" s="43">
        <f t="shared" si="15"/>
      </c>
      <c r="J24" s="73">
        <f t="shared" si="16"/>
      </c>
      <c r="K24" s="69">
        <f t="shared" si="2"/>
      </c>
      <c r="L24" s="48">
        <f t="shared" si="3"/>
      </c>
      <c r="M24" s="48">
        <f t="shared" si="4"/>
      </c>
      <c r="N24" s="48">
        <f t="shared" si="5"/>
      </c>
      <c r="O24" s="53">
        <f t="shared" si="6"/>
      </c>
      <c r="P24" s="56">
        <f t="shared" si="7"/>
      </c>
      <c r="Q24" s="59">
        <f t="shared" si="8"/>
        <v>17206.238577520096</v>
      </c>
      <c r="R24" s="62">
        <f t="shared" si="9"/>
        <v>17206.238577520096</v>
      </c>
      <c r="S24" s="63">
        <f t="shared" si="10"/>
        <v>11810.891419554771</v>
      </c>
      <c r="U24">
        <f t="shared" si="11"/>
        <v>1</v>
      </c>
      <c r="V24">
        <f t="shared" si="12"/>
        <v>12</v>
      </c>
      <c r="W24" s="2">
        <f t="shared" si="13"/>
        <v>76275</v>
      </c>
    </row>
    <row r="25" spans="2:23" ht="12.75">
      <c r="B25" s="8" t="s">
        <v>44</v>
      </c>
      <c r="C25" s="11">
        <v>0.25</v>
      </c>
      <c r="D25" s="10"/>
      <c r="F25" s="32">
        <f t="shared" si="0"/>
        <v>2034</v>
      </c>
      <c r="G25" s="33">
        <f t="shared" si="14"/>
        <v>20</v>
      </c>
      <c r="H25" s="42">
        <f t="shared" si="1"/>
      </c>
      <c r="I25" s="43">
        <f t="shared" si="15"/>
      </c>
      <c r="J25" s="73">
        <f t="shared" si="16"/>
      </c>
      <c r="K25" s="69">
        <f t="shared" si="2"/>
      </c>
      <c r="L25" s="48">
        <f t="shared" si="3"/>
      </c>
      <c r="M25" s="48">
        <f t="shared" si="4"/>
      </c>
      <c r="N25" s="48">
        <f t="shared" si="5"/>
        <v>3714.868489945886</v>
      </c>
      <c r="O25" s="53">
        <f t="shared" si="6"/>
        <v>2228.9210939675313</v>
      </c>
      <c r="P25" s="56">
        <f t="shared" si="7"/>
        <v>5111.314749857448</v>
      </c>
      <c r="Q25" s="59">
        <f t="shared" si="8"/>
        <v>17464.332156182893</v>
      </c>
      <c r="R25" s="62">
        <f t="shared" si="9"/>
        <v>28519.436489953758</v>
      </c>
      <c r="S25" s="63">
        <f t="shared" si="10"/>
        <v>19192.763194134768</v>
      </c>
      <c r="U25">
        <f t="shared" si="11"/>
        <v>1</v>
      </c>
      <c r="V25">
        <f t="shared" si="12"/>
        <v>12</v>
      </c>
      <c r="W25" s="2">
        <f t="shared" si="13"/>
        <v>76275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4"/>
        <v>21</v>
      </c>
      <c r="H26" s="42">
        <f t="shared" si="1"/>
      </c>
      <c r="I26" s="43">
        <f t="shared" si="15"/>
      </c>
      <c r="J26" s="73">
        <f t="shared" si="16"/>
      </c>
      <c r="K26" s="69">
        <f t="shared" si="2"/>
      </c>
      <c r="L26" s="48">
        <f t="shared" si="3"/>
      </c>
      <c r="M26" s="48">
        <f t="shared" si="4"/>
      </c>
      <c r="N26" s="48">
        <f t="shared" si="5"/>
      </c>
      <c r="O26" s="53">
        <f t="shared" si="6"/>
      </c>
      <c r="P26" s="56">
        <f t="shared" si="7"/>
      </c>
      <c r="Q26" s="59">
        <f t="shared" si="8"/>
        <v>17726.29713852563</v>
      </c>
      <c r="R26" s="62">
        <f t="shared" si="9"/>
        <v>17726.29713852563</v>
      </c>
      <c r="S26" s="63">
        <f t="shared" si="10"/>
        <v>11695.382172924652</v>
      </c>
      <c r="U26">
        <f t="shared" si="11"/>
        <v>1</v>
      </c>
      <c r="V26">
        <f t="shared" si="12"/>
        <v>12</v>
      </c>
      <c r="W26" s="2">
        <f t="shared" si="13"/>
        <v>76275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4"/>
        <v>22</v>
      </c>
      <c r="H27" s="42">
        <f t="shared" si="1"/>
      </c>
      <c r="I27" s="43">
        <f t="shared" si="15"/>
      </c>
      <c r="J27" s="73">
        <f t="shared" si="16"/>
      </c>
      <c r="K27" s="69">
        <f t="shared" si="2"/>
      </c>
      <c r="L27" s="48">
        <f t="shared" si="3"/>
      </c>
      <c r="M27" s="48">
        <f t="shared" si="4"/>
      </c>
      <c r="N27" s="48">
        <f t="shared" si="5"/>
      </c>
      <c r="O27" s="53">
        <f t="shared" si="6"/>
      </c>
      <c r="P27" s="56">
        <f t="shared" si="7"/>
      </c>
      <c r="Q27" s="59">
        <f t="shared" si="8"/>
        <v>17992.191595603515</v>
      </c>
      <c r="R27" s="62">
        <f t="shared" si="9"/>
        <v>17992.191595603515</v>
      </c>
      <c r="S27" s="63">
        <f t="shared" si="10"/>
        <v>11638.051868155411</v>
      </c>
      <c r="U27">
        <f t="shared" si="11"/>
        <v>1</v>
      </c>
      <c r="V27">
        <f t="shared" si="12"/>
        <v>12</v>
      </c>
      <c r="W27" s="2">
        <f t="shared" si="13"/>
        <v>76275</v>
      </c>
    </row>
    <row r="28" spans="6:23" ht="12.75">
      <c r="F28" s="32">
        <f t="shared" si="0"/>
        <v>2037</v>
      </c>
      <c r="G28" s="33">
        <f t="shared" si="14"/>
        <v>23</v>
      </c>
      <c r="H28" s="42">
        <f t="shared" si="1"/>
      </c>
      <c r="I28" s="43">
        <f t="shared" si="15"/>
      </c>
      <c r="J28" s="73">
        <f t="shared" si="16"/>
      </c>
      <c r="K28" s="69">
        <f t="shared" si="2"/>
      </c>
      <c r="L28" s="48">
        <f t="shared" si="3"/>
      </c>
      <c r="M28" s="48">
        <f t="shared" si="4"/>
      </c>
      <c r="N28" s="48">
        <f t="shared" si="5"/>
      </c>
      <c r="O28" s="53">
        <f t="shared" si="6"/>
      </c>
      <c r="P28" s="56">
        <f t="shared" si="7"/>
      </c>
      <c r="Q28" s="59">
        <f t="shared" si="8"/>
        <v>18262.07446953757</v>
      </c>
      <c r="R28" s="62">
        <f t="shared" si="9"/>
        <v>18262.07446953757</v>
      </c>
      <c r="S28" s="63">
        <f t="shared" si="10"/>
        <v>11581.002594291907</v>
      </c>
      <c r="U28">
        <f t="shared" si="11"/>
        <v>1</v>
      </c>
      <c r="V28">
        <f t="shared" si="12"/>
        <v>12</v>
      </c>
      <c r="W28" s="2">
        <f t="shared" si="13"/>
        <v>76275</v>
      </c>
    </row>
    <row r="29" spans="6:23" ht="13.5" thickBot="1">
      <c r="F29" s="34">
        <f t="shared" si="0"/>
        <v>2038</v>
      </c>
      <c r="G29" s="35">
        <f t="shared" si="14"/>
        <v>24</v>
      </c>
      <c r="H29" s="44">
        <f t="shared" si="1"/>
      </c>
      <c r="I29" s="45">
        <f t="shared" si="15"/>
      </c>
      <c r="J29" s="74">
        <f t="shared" si="16"/>
      </c>
      <c r="K29" s="70">
        <f t="shared" si="2"/>
      </c>
      <c r="L29" s="49">
        <f t="shared" si="3"/>
      </c>
      <c r="M29" s="49">
        <f t="shared" si="4"/>
      </c>
      <c r="N29" s="49">
        <f t="shared" si="5"/>
      </c>
      <c r="O29" s="54">
        <f t="shared" si="6"/>
      </c>
      <c r="P29" s="57">
        <f t="shared" si="7"/>
      </c>
      <c r="Q29" s="60">
        <f t="shared" si="8"/>
        <v>18536.005586580628</v>
      </c>
      <c r="R29" s="64">
        <f t="shared" si="9"/>
        <v>18536.005586580628</v>
      </c>
      <c r="S29" s="65">
        <f t="shared" si="10"/>
        <v>11524.23297373165</v>
      </c>
      <c r="U29">
        <f t="shared" si="11"/>
        <v>1</v>
      </c>
      <c r="V29">
        <f t="shared" si="12"/>
        <v>12</v>
      </c>
      <c r="W29" s="2">
        <f t="shared" si="13"/>
        <v>76275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4"/>
        <v>25</v>
      </c>
      <c r="H30" s="36">
        <f>IF(MOD(($D$10-G30),$D$10)=0,$D$7*$D$9*(1+$D$56)^G30,"")</f>
        <v>19950.498618984388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2"/>
        <v>12304.544958485472</v>
      </c>
      <c r="L30" s="36">
        <f t="shared" si="3"/>
      </c>
      <c r="M30" s="36">
        <f t="shared" si="4"/>
      </c>
      <c r="N30" s="36">
        <f t="shared" si="5"/>
      </c>
      <c r="O30" s="36">
        <f t="shared" si="6"/>
      </c>
      <c r="P30" s="36">
        <f t="shared" si="7"/>
        <v>5506.3376188396915</v>
      </c>
      <c r="Q30" s="36">
        <f>$D$7*($C$22*$D$22+$C$23*$D$23+$C$24*$D$24+$C$25*$D$25)*$D$27*(1+$D$57)^G30*$D$21/1000</f>
        <v>18814.045670379335</v>
      </c>
      <c r="R30" s="36">
        <f t="shared" si="9"/>
        <v>56575.42686668888</v>
      </c>
      <c r="S30" s="36">
        <f t="shared" si="10"/>
        <v>34484.469188561874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90" t="s">
        <v>53</v>
      </c>
      <c r="Q32" s="90"/>
      <c r="R32" s="2">
        <f>SUM(R4:R16)</f>
        <v>211466.40852468414</v>
      </c>
      <c r="S32" s="66">
        <f>SUM(S4:S16)</f>
        <v>191888.51117844816</v>
      </c>
      <c r="W32" s="2">
        <f>SUM(W5:W16)</f>
        <v>915300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90" t="s">
        <v>48</v>
      </c>
      <c r="Q33" s="90"/>
      <c r="R33" s="2">
        <f>SUM(R5:R29)</f>
        <v>471036.83055896516</v>
      </c>
      <c r="S33" s="66">
        <f>SUM(S5:S29)</f>
        <v>374951.7325067979</v>
      </c>
      <c r="W33" s="2">
        <f>SUM(W5:W29)</f>
        <v>1906875</v>
      </c>
    </row>
    <row r="34" spans="2:17" ht="12.75">
      <c r="B34" s="18" t="s">
        <v>12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13</v>
      </c>
      <c r="C35" s="4"/>
      <c r="D35" s="20">
        <v>3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14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15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16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45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20</v>
      </c>
      <c r="C49" s="4"/>
      <c r="D49" s="20">
        <v>90</v>
      </c>
    </row>
    <row r="50" spans="2:4" ht="12.75">
      <c r="B50" s="21" t="s">
        <v>21</v>
      </c>
      <c r="C50" s="22"/>
      <c r="D50" s="23">
        <v>120</v>
      </c>
    </row>
    <row r="53" spans="2:4" ht="12.75">
      <c r="B53" s="15" t="s">
        <v>22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23</v>
      </c>
      <c r="C55" s="4"/>
      <c r="D55" s="25">
        <v>0.02</v>
      </c>
    </row>
    <row r="56" spans="2:4" ht="12.75">
      <c r="B56" s="18" t="s">
        <v>35</v>
      </c>
      <c r="C56" s="4"/>
      <c r="D56" s="25">
        <v>0.015</v>
      </c>
    </row>
    <row r="57" spans="2:4" ht="12.75">
      <c r="B57" s="18" t="s">
        <v>36</v>
      </c>
      <c r="C57" s="4"/>
      <c r="D57" s="25">
        <v>0.015</v>
      </c>
    </row>
    <row r="58" spans="2:4" ht="12.75">
      <c r="B58" s="18" t="s">
        <v>39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51</v>
      </c>
      <c r="C60" s="22"/>
      <c r="D60" s="26">
        <v>0.02</v>
      </c>
    </row>
    <row r="62" ht="13.5" thickBot="1"/>
    <row r="63" spans="2:4" ht="13.5" thickBot="1">
      <c r="B63" s="75" t="s">
        <v>49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Nutzer</cp:lastModifiedBy>
  <dcterms:created xsi:type="dcterms:W3CDTF">2014-11-19T08:26:25Z</dcterms:created>
  <dcterms:modified xsi:type="dcterms:W3CDTF">2015-01-28T08:56:42Z</dcterms:modified>
  <cp:category/>
  <cp:version/>
  <cp:contentType/>
  <cp:contentStatus/>
</cp:coreProperties>
</file>